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y Drive\#GHGPHASE3\WorkPlan &amp; Deliverables\Files for GHGPI website upload @19sept19\"/>
    </mc:Choice>
  </mc:AlternateContent>
  <xr:revisionPtr revIDLastSave="0" documentId="13_ncr:1_{93E92A93-65D7-49C4-BB9F-85865DB31EDC}" xr6:coauthVersionLast="44" xr6:coauthVersionMax="44" xr10:uidLastSave="{00000000-0000-0000-0000-000000000000}"/>
  <bookViews>
    <workbookView xWindow="60" yWindow="465" windowWidth="20430" windowHeight="11055" xr2:uid="{37D892E2-4C7D-40F9-8D4F-68592D94E425}"/>
  </bookViews>
  <sheets>
    <sheet name="Introduction" sheetId="1" r:id="rId1"/>
    <sheet name="Reference" sheetId="2" r:id="rId2"/>
    <sheet name="1" sheetId="3" r:id="rId3"/>
    <sheet name="2" sheetId="7" r:id="rId4"/>
    <sheet name="3" sheetId="8" r:id="rId5"/>
    <sheet name="4" sheetId="11" r:id="rId6"/>
    <sheet name="5" sheetId="12" r:id="rId7"/>
    <sheet name="6" sheetId="4" r:id="rId8"/>
    <sheet name="7" sheetId="5" r:id="rId9"/>
    <sheet name="8" sheetId="6" r:id="rId10"/>
  </sheets>
  <externalReferences>
    <externalReference r:id="rId11"/>
  </externalReferences>
  <definedNames>
    <definedName name="_xlcn.WorksheetConnection_2B5M20" hidden="1">'2'!$B$6:$M$21</definedName>
  </definedNames>
  <calcPr calcId="18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2!$B$5:$M$20"/>
        </x15:modelTables>
      </x15:dataModel>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 i="11" l="1"/>
  <c r="AA58" i="3" l="1"/>
  <c r="K29" i="11" l="1"/>
  <c r="H29" i="11"/>
  <c r="E29" i="11"/>
  <c r="J26" i="11"/>
  <c r="G26" i="11"/>
  <c r="D26" i="11"/>
  <c r="E10" i="11"/>
  <c r="E8" i="11"/>
  <c r="E7" i="11"/>
  <c r="F23" i="11" l="1"/>
  <c r="F17" i="11"/>
  <c r="F15" i="11"/>
  <c r="F14" i="11"/>
  <c r="F9" i="11"/>
  <c r="F8" i="11"/>
  <c r="F7" i="11"/>
  <c r="F6" i="11"/>
  <c r="F5" i="11"/>
  <c r="C23" i="11"/>
  <c r="C17" i="11"/>
  <c r="C16" i="11"/>
  <c r="C15" i="11"/>
  <c r="C14" i="11"/>
  <c r="C10" i="11"/>
  <c r="C9" i="11"/>
  <c r="C7" i="11"/>
  <c r="C6" i="11"/>
  <c r="C5" i="11"/>
  <c r="I25" i="11" l="1"/>
  <c r="F7" i="12" s="1"/>
  <c r="I29" i="11"/>
  <c r="K23" i="11" l="1"/>
  <c r="H23" i="11"/>
  <c r="F12" i="11"/>
  <c r="F11" i="11"/>
  <c r="C11" i="11"/>
  <c r="F10" i="11"/>
  <c r="C8" i="11"/>
  <c r="C29" i="11" l="1"/>
  <c r="F29" i="11"/>
  <c r="C25" i="11"/>
  <c r="D5" i="12" s="1"/>
  <c r="F25" i="11"/>
  <c r="E6" i="12" s="1"/>
  <c r="P61" i="3"/>
  <c r="Q61" i="3"/>
  <c r="R61" i="3"/>
  <c r="S61" i="3"/>
  <c r="T61" i="3"/>
  <c r="U61" i="3"/>
  <c r="V61" i="3"/>
  <c r="W61" i="3"/>
  <c r="X61" i="3"/>
  <c r="Y61" i="3"/>
  <c r="Z61" i="3"/>
  <c r="Z37" i="3"/>
  <c r="Y99" i="3"/>
  <c r="Z99" i="3"/>
  <c r="Y85" i="3"/>
  <c r="Z85" i="3"/>
  <c r="Y76" i="3"/>
  <c r="Z76" i="3"/>
  <c r="Y70" i="3"/>
  <c r="Z70" i="3"/>
  <c r="N99" i="3" l="1"/>
  <c r="O99" i="3"/>
  <c r="N85" i="3"/>
  <c r="O85" i="3"/>
  <c r="M76" i="3"/>
  <c r="N76" i="3"/>
  <c r="O76" i="3"/>
  <c r="N70" i="3"/>
  <c r="O70" i="3"/>
  <c r="D67" i="3"/>
  <c r="E67" i="3"/>
  <c r="F67" i="3"/>
  <c r="G67" i="3"/>
  <c r="H67" i="3"/>
  <c r="I67" i="3"/>
  <c r="J67" i="3"/>
  <c r="K67" i="3"/>
  <c r="L67" i="3"/>
  <c r="M67" i="3"/>
  <c r="N67" i="3"/>
  <c r="O67" i="3"/>
  <c r="D68" i="3"/>
  <c r="E68" i="3"/>
  <c r="F68" i="3"/>
  <c r="G68" i="3"/>
  <c r="H68" i="3"/>
  <c r="I68" i="3"/>
  <c r="J68" i="3"/>
  <c r="K68" i="3"/>
  <c r="L68" i="3"/>
  <c r="M68" i="3"/>
  <c r="N68" i="3"/>
  <c r="O68" i="3"/>
  <c r="D69" i="3"/>
  <c r="E69" i="3"/>
  <c r="F69" i="3"/>
  <c r="G69" i="3"/>
  <c r="H69" i="3"/>
  <c r="I69" i="3"/>
  <c r="J69" i="3"/>
  <c r="K69" i="3"/>
  <c r="L69" i="3"/>
  <c r="M69" i="3"/>
  <c r="N69" i="3"/>
  <c r="O69" i="3"/>
  <c r="O66" i="3"/>
  <c r="O65" i="3" s="1"/>
  <c r="N66" i="3"/>
  <c r="M66" i="3"/>
  <c r="L66" i="3"/>
  <c r="K66" i="3"/>
  <c r="W66" i="3" s="1"/>
  <c r="J66" i="3"/>
  <c r="I66" i="3"/>
  <c r="H66" i="3"/>
  <c r="G66" i="3"/>
  <c r="S66" i="3" s="1"/>
  <c r="F66" i="3"/>
  <c r="E66" i="3"/>
  <c r="D66" i="3"/>
  <c r="D59" i="3"/>
  <c r="E59" i="3"/>
  <c r="F59" i="3"/>
  <c r="G59" i="3"/>
  <c r="H59" i="3"/>
  <c r="I59" i="3"/>
  <c r="J59" i="3"/>
  <c r="V59" i="3" s="1"/>
  <c r="I8" i="7" s="1"/>
  <c r="K59" i="3"/>
  <c r="L59" i="3"/>
  <c r="M59" i="3"/>
  <c r="N59" i="3"/>
  <c r="O59" i="3"/>
  <c r="D60" i="3"/>
  <c r="E60" i="3"/>
  <c r="F60" i="3"/>
  <c r="R60" i="3" s="1"/>
  <c r="G60" i="3"/>
  <c r="H60" i="3"/>
  <c r="I60" i="3"/>
  <c r="J60" i="3"/>
  <c r="K60" i="3"/>
  <c r="L60" i="3"/>
  <c r="M60" i="3"/>
  <c r="N60" i="3"/>
  <c r="Z60" i="3" s="1"/>
  <c r="O60" i="3"/>
  <c r="D62" i="3"/>
  <c r="E62" i="3"/>
  <c r="F62" i="3"/>
  <c r="G62" i="3"/>
  <c r="H62" i="3"/>
  <c r="I62" i="3"/>
  <c r="J62" i="3"/>
  <c r="V62" i="3" s="1"/>
  <c r="K62" i="3"/>
  <c r="L62" i="3"/>
  <c r="M62" i="3"/>
  <c r="N62" i="3"/>
  <c r="O62" i="3"/>
  <c r="D63" i="3"/>
  <c r="E63" i="3"/>
  <c r="F63" i="3"/>
  <c r="R63" i="3" s="1"/>
  <c r="G63" i="3"/>
  <c r="H63" i="3"/>
  <c r="I63" i="3"/>
  <c r="J63" i="3"/>
  <c r="K63" i="3"/>
  <c r="L63" i="3"/>
  <c r="M63" i="3"/>
  <c r="N63" i="3"/>
  <c r="Z63" i="3" s="1"/>
  <c r="O63" i="3"/>
  <c r="D64" i="3"/>
  <c r="E64" i="3"/>
  <c r="F64" i="3"/>
  <c r="G64" i="3"/>
  <c r="H64" i="3"/>
  <c r="I64" i="3"/>
  <c r="J64" i="3"/>
  <c r="V64" i="3" s="1"/>
  <c r="K64" i="3"/>
  <c r="L64" i="3"/>
  <c r="M64" i="3"/>
  <c r="N64" i="3"/>
  <c r="O64" i="3"/>
  <c r="O58" i="3"/>
  <c r="O57" i="3" s="1"/>
  <c r="N58" i="3"/>
  <c r="M58" i="3"/>
  <c r="L58" i="3"/>
  <c r="K58" i="3"/>
  <c r="W58" i="3" s="1"/>
  <c r="J58" i="3"/>
  <c r="I58" i="3"/>
  <c r="H58" i="3"/>
  <c r="G58" i="3"/>
  <c r="S58" i="3" s="1"/>
  <c r="F58" i="3"/>
  <c r="E58" i="3"/>
  <c r="D58" i="3"/>
  <c r="D48" i="3"/>
  <c r="E48" i="3"/>
  <c r="F48" i="3"/>
  <c r="G48" i="3"/>
  <c r="H48" i="3"/>
  <c r="I48" i="3"/>
  <c r="J48" i="3"/>
  <c r="V48" i="3" s="1"/>
  <c r="K48" i="3"/>
  <c r="L48" i="3"/>
  <c r="M48" i="3"/>
  <c r="N48" i="3"/>
  <c r="O48" i="3"/>
  <c r="D49" i="3"/>
  <c r="E49" i="3"/>
  <c r="F49" i="3"/>
  <c r="R49" i="3" s="1"/>
  <c r="G49" i="3"/>
  <c r="H49" i="3"/>
  <c r="I49" i="3"/>
  <c r="J49" i="3"/>
  <c r="K49" i="3"/>
  <c r="L49" i="3"/>
  <c r="M49" i="3"/>
  <c r="N49" i="3"/>
  <c r="Z49" i="3" s="1"/>
  <c r="O49" i="3"/>
  <c r="D50" i="3"/>
  <c r="E50" i="3"/>
  <c r="F50" i="3"/>
  <c r="G50" i="3"/>
  <c r="H50" i="3"/>
  <c r="I50" i="3"/>
  <c r="J50" i="3"/>
  <c r="V50" i="3" s="1"/>
  <c r="K50" i="3"/>
  <c r="L50" i="3"/>
  <c r="M50" i="3"/>
  <c r="N50" i="3"/>
  <c r="O50" i="3"/>
  <c r="D51" i="3"/>
  <c r="E51" i="3"/>
  <c r="F51" i="3"/>
  <c r="R51" i="3" s="1"/>
  <c r="G51" i="3"/>
  <c r="H51" i="3"/>
  <c r="I51" i="3"/>
  <c r="J51" i="3"/>
  <c r="K51" i="3"/>
  <c r="L51" i="3"/>
  <c r="M51" i="3"/>
  <c r="N51" i="3"/>
  <c r="Z51" i="3" s="1"/>
  <c r="O51" i="3"/>
  <c r="D52" i="3"/>
  <c r="E52" i="3"/>
  <c r="F52" i="3"/>
  <c r="G52" i="3"/>
  <c r="H52" i="3"/>
  <c r="I52" i="3"/>
  <c r="J52" i="3"/>
  <c r="V52" i="3" s="1"/>
  <c r="K52" i="3"/>
  <c r="L52" i="3"/>
  <c r="M52" i="3"/>
  <c r="N52" i="3"/>
  <c r="O52" i="3"/>
  <c r="O47" i="3"/>
  <c r="N47" i="3"/>
  <c r="M47" i="3"/>
  <c r="L47" i="3"/>
  <c r="K47" i="3"/>
  <c r="W47" i="3" s="1"/>
  <c r="J47" i="3"/>
  <c r="I47" i="3"/>
  <c r="H47" i="3"/>
  <c r="G47" i="3"/>
  <c r="F47" i="3"/>
  <c r="E47" i="3"/>
  <c r="D47" i="3"/>
  <c r="D43" i="3"/>
  <c r="E43" i="3"/>
  <c r="F43" i="3"/>
  <c r="G43" i="3"/>
  <c r="H43" i="3"/>
  <c r="I43" i="3"/>
  <c r="J43" i="3"/>
  <c r="V43" i="3" s="1"/>
  <c r="K43" i="3"/>
  <c r="L43" i="3"/>
  <c r="M43" i="3"/>
  <c r="N43" i="3"/>
  <c r="O43" i="3"/>
  <c r="D44" i="3"/>
  <c r="E44" i="3"/>
  <c r="F44" i="3"/>
  <c r="R44" i="3" s="1"/>
  <c r="G44" i="3"/>
  <c r="H44" i="3"/>
  <c r="I44" i="3"/>
  <c r="J44" i="3"/>
  <c r="K44" i="3"/>
  <c r="L44" i="3"/>
  <c r="M44" i="3"/>
  <c r="N44" i="3"/>
  <c r="Z44" i="3" s="1"/>
  <c r="O44" i="3"/>
  <c r="D45" i="3"/>
  <c r="E45" i="3"/>
  <c r="F45" i="3"/>
  <c r="G45" i="3"/>
  <c r="H45" i="3"/>
  <c r="I45" i="3"/>
  <c r="J45" i="3"/>
  <c r="V45" i="3" s="1"/>
  <c r="K45" i="3"/>
  <c r="L45" i="3"/>
  <c r="M45" i="3"/>
  <c r="N45" i="3"/>
  <c r="O45" i="3"/>
  <c r="O42" i="3"/>
  <c r="N42" i="3"/>
  <c r="M42" i="3"/>
  <c r="L42" i="3"/>
  <c r="K42" i="3"/>
  <c r="W42" i="3" s="1"/>
  <c r="J42" i="3"/>
  <c r="I42" i="3"/>
  <c r="H42" i="3"/>
  <c r="G42" i="3"/>
  <c r="F42" i="3"/>
  <c r="E42" i="3"/>
  <c r="D42" i="3"/>
  <c r="D40" i="3"/>
  <c r="E40" i="3"/>
  <c r="F40" i="3"/>
  <c r="G40" i="3"/>
  <c r="H40" i="3"/>
  <c r="I40" i="3"/>
  <c r="J40" i="3"/>
  <c r="V40" i="3" s="1"/>
  <c r="K40" i="3"/>
  <c r="L40" i="3"/>
  <c r="M40" i="3"/>
  <c r="N40" i="3"/>
  <c r="O40" i="3"/>
  <c r="O39" i="3"/>
  <c r="N39" i="3"/>
  <c r="M39" i="3"/>
  <c r="L39" i="3"/>
  <c r="K39" i="3"/>
  <c r="W39" i="3" s="1"/>
  <c r="J39" i="3"/>
  <c r="I39" i="3"/>
  <c r="H39" i="3"/>
  <c r="G39" i="3"/>
  <c r="F39" i="3"/>
  <c r="E39" i="3"/>
  <c r="D39" i="3"/>
  <c r="D30" i="3"/>
  <c r="E30" i="3"/>
  <c r="F30" i="3"/>
  <c r="G30" i="3"/>
  <c r="H30" i="3"/>
  <c r="I30" i="3"/>
  <c r="J30" i="3"/>
  <c r="V30" i="3" s="1"/>
  <c r="K30" i="3"/>
  <c r="L30" i="3"/>
  <c r="M30" i="3"/>
  <c r="N30" i="3"/>
  <c r="O30" i="3"/>
  <c r="D31" i="3"/>
  <c r="E31" i="3"/>
  <c r="F31" i="3"/>
  <c r="R31" i="3" s="1"/>
  <c r="G31" i="3"/>
  <c r="H31" i="3"/>
  <c r="I31" i="3"/>
  <c r="J31" i="3"/>
  <c r="K31" i="3"/>
  <c r="L31" i="3"/>
  <c r="M31" i="3"/>
  <c r="N31" i="3"/>
  <c r="Z31" i="3" s="1"/>
  <c r="O31" i="3"/>
  <c r="D32" i="3"/>
  <c r="E32" i="3"/>
  <c r="F32" i="3"/>
  <c r="G32" i="3"/>
  <c r="H32" i="3"/>
  <c r="I32" i="3"/>
  <c r="J32" i="3"/>
  <c r="V32" i="3" s="1"/>
  <c r="K32" i="3"/>
  <c r="L32" i="3"/>
  <c r="M32" i="3"/>
  <c r="N32" i="3"/>
  <c r="O32" i="3"/>
  <c r="D33" i="3"/>
  <c r="E33" i="3"/>
  <c r="F33" i="3"/>
  <c r="R33" i="3" s="1"/>
  <c r="G33" i="3"/>
  <c r="H33" i="3"/>
  <c r="I33" i="3"/>
  <c r="J33" i="3"/>
  <c r="K33" i="3"/>
  <c r="L33" i="3"/>
  <c r="M33" i="3"/>
  <c r="N33" i="3"/>
  <c r="Z33" i="3" s="1"/>
  <c r="O33" i="3"/>
  <c r="D34" i="3"/>
  <c r="E34" i="3"/>
  <c r="F34" i="3"/>
  <c r="G34" i="3"/>
  <c r="H34" i="3"/>
  <c r="I34" i="3"/>
  <c r="J34" i="3"/>
  <c r="V34" i="3" s="1"/>
  <c r="K34" i="3"/>
  <c r="L34" i="3"/>
  <c r="M34" i="3"/>
  <c r="N34" i="3"/>
  <c r="O34" i="3"/>
  <c r="D35" i="3"/>
  <c r="E35" i="3"/>
  <c r="F35" i="3"/>
  <c r="R35" i="3" s="1"/>
  <c r="G35" i="3"/>
  <c r="H35" i="3"/>
  <c r="I35" i="3"/>
  <c r="J35" i="3"/>
  <c r="K35" i="3"/>
  <c r="L35" i="3"/>
  <c r="M35" i="3"/>
  <c r="N35" i="3"/>
  <c r="Z35" i="3" s="1"/>
  <c r="O35" i="3"/>
  <c r="D36" i="3"/>
  <c r="E36" i="3"/>
  <c r="F36" i="3"/>
  <c r="G36" i="3"/>
  <c r="H36" i="3"/>
  <c r="I36" i="3"/>
  <c r="J36" i="3"/>
  <c r="V36" i="3" s="1"/>
  <c r="K36" i="3"/>
  <c r="L36" i="3"/>
  <c r="M36" i="3"/>
  <c r="N36" i="3"/>
  <c r="O36" i="3"/>
  <c r="O29" i="3"/>
  <c r="N29" i="3"/>
  <c r="M29" i="3"/>
  <c r="L29" i="3"/>
  <c r="K29" i="3"/>
  <c r="W29" i="3" s="1"/>
  <c r="J29" i="3"/>
  <c r="I29" i="3"/>
  <c r="H29" i="3"/>
  <c r="G29" i="3"/>
  <c r="F29" i="3"/>
  <c r="E29" i="3"/>
  <c r="D29" i="3"/>
  <c r="D13" i="3"/>
  <c r="E13" i="3"/>
  <c r="F13" i="3"/>
  <c r="G13" i="3"/>
  <c r="H13" i="3"/>
  <c r="I13" i="3"/>
  <c r="J13" i="3"/>
  <c r="V13" i="3" s="1"/>
  <c r="K13" i="3"/>
  <c r="L13" i="3"/>
  <c r="M13" i="3"/>
  <c r="N13" i="3"/>
  <c r="O13" i="3"/>
  <c r="D14" i="3"/>
  <c r="E14" i="3"/>
  <c r="F14" i="3"/>
  <c r="R14" i="3" s="1"/>
  <c r="G14" i="3"/>
  <c r="H14" i="3"/>
  <c r="I14" i="3"/>
  <c r="J14" i="3"/>
  <c r="K14" i="3"/>
  <c r="L14" i="3"/>
  <c r="M14" i="3"/>
  <c r="N14" i="3"/>
  <c r="Z14" i="3" s="1"/>
  <c r="O14" i="3"/>
  <c r="D15" i="3"/>
  <c r="E15" i="3"/>
  <c r="F15" i="3"/>
  <c r="G15" i="3"/>
  <c r="H15" i="3"/>
  <c r="I15" i="3"/>
  <c r="J15" i="3"/>
  <c r="V15" i="3" s="1"/>
  <c r="I16" i="7" s="1"/>
  <c r="K15" i="3"/>
  <c r="L15" i="3"/>
  <c r="M15" i="3"/>
  <c r="N15" i="3"/>
  <c r="O15" i="3"/>
  <c r="D16" i="3"/>
  <c r="E16" i="3"/>
  <c r="F16" i="3"/>
  <c r="R16" i="3" s="1"/>
  <c r="E15" i="7" s="1"/>
  <c r="D16" i="11" s="1"/>
  <c r="E16" i="11" s="1"/>
  <c r="G16" i="3"/>
  <c r="H16" i="3"/>
  <c r="I16" i="3"/>
  <c r="J16" i="3"/>
  <c r="K16" i="3"/>
  <c r="L16" i="3"/>
  <c r="M16" i="3"/>
  <c r="N16" i="3"/>
  <c r="Z16" i="3" s="1"/>
  <c r="M15" i="7" s="1"/>
  <c r="O16" i="3"/>
  <c r="D17" i="3"/>
  <c r="E17" i="3"/>
  <c r="F17" i="3"/>
  <c r="G17" i="3"/>
  <c r="H17" i="3"/>
  <c r="I17" i="3"/>
  <c r="J17" i="3"/>
  <c r="V17" i="3" s="1"/>
  <c r="K17" i="3"/>
  <c r="L17" i="3"/>
  <c r="M17" i="3"/>
  <c r="N17" i="3"/>
  <c r="O17" i="3"/>
  <c r="D18" i="3"/>
  <c r="E18" i="3"/>
  <c r="F18" i="3"/>
  <c r="R18" i="3" s="1"/>
  <c r="E17" i="7" s="1"/>
  <c r="D18" i="11" s="1"/>
  <c r="G18" i="3"/>
  <c r="H18" i="3"/>
  <c r="I18" i="3"/>
  <c r="J18" i="3"/>
  <c r="K18" i="3"/>
  <c r="L18" i="3"/>
  <c r="X18" i="3" s="1"/>
  <c r="K17" i="7" s="1"/>
  <c r="M18" i="3"/>
  <c r="N18" i="3"/>
  <c r="Z18" i="3" s="1"/>
  <c r="M17" i="7" s="1"/>
  <c r="O18" i="3"/>
  <c r="D19" i="3"/>
  <c r="E19" i="3"/>
  <c r="F19" i="3"/>
  <c r="G19" i="3"/>
  <c r="H19" i="3"/>
  <c r="T19" i="3" s="1"/>
  <c r="G20" i="7" s="1"/>
  <c r="I19" i="3"/>
  <c r="J19" i="3"/>
  <c r="V19" i="3" s="1"/>
  <c r="I20" i="7" s="1"/>
  <c r="K19" i="3"/>
  <c r="L19" i="3"/>
  <c r="M19" i="3"/>
  <c r="N19" i="3"/>
  <c r="O19" i="3"/>
  <c r="D20" i="3"/>
  <c r="P20" i="3" s="1"/>
  <c r="C13" i="7" s="1"/>
  <c r="E20" i="3"/>
  <c r="F20" i="3"/>
  <c r="R20" i="3" s="1"/>
  <c r="E13" i="7" s="1"/>
  <c r="D14" i="11" s="1"/>
  <c r="E14" i="11" s="1"/>
  <c r="G20" i="3"/>
  <c r="H20" i="3"/>
  <c r="I20" i="3"/>
  <c r="J20" i="3"/>
  <c r="V20" i="3" s="1"/>
  <c r="I13" i="7" s="1"/>
  <c r="K20" i="3"/>
  <c r="L20" i="3"/>
  <c r="X20" i="3" s="1"/>
  <c r="K13" i="7" s="1"/>
  <c r="M20" i="3"/>
  <c r="N20" i="3"/>
  <c r="Z20" i="3" s="1"/>
  <c r="M13" i="7" s="1"/>
  <c r="O20" i="3"/>
  <c r="D21" i="3"/>
  <c r="E21" i="3"/>
  <c r="F21" i="3"/>
  <c r="G21" i="3"/>
  <c r="H21" i="3"/>
  <c r="T21" i="3" s="1"/>
  <c r="G18" i="7" s="1"/>
  <c r="I21" i="3"/>
  <c r="J21" i="3"/>
  <c r="V21" i="3" s="1"/>
  <c r="I18" i="7" s="1"/>
  <c r="K21" i="3"/>
  <c r="L21" i="3"/>
  <c r="M21" i="3"/>
  <c r="N21" i="3"/>
  <c r="O21" i="3"/>
  <c r="D22" i="3"/>
  <c r="P22" i="3" s="1"/>
  <c r="C19" i="7" s="1"/>
  <c r="E22" i="3"/>
  <c r="F22" i="3"/>
  <c r="R22" i="3" s="1"/>
  <c r="E19" i="7" s="1"/>
  <c r="D21" i="11" s="1"/>
  <c r="G22" i="3"/>
  <c r="H22" i="3"/>
  <c r="I22" i="3"/>
  <c r="J22" i="3"/>
  <c r="K22" i="3"/>
  <c r="L22" i="3"/>
  <c r="X22" i="3" s="1"/>
  <c r="K19" i="7" s="1"/>
  <c r="M22" i="3"/>
  <c r="N22" i="3"/>
  <c r="Z22" i="3" s="1"/>
  <c r="M19" i="7" s="1"/>
  <c r="O22" i="3"/>
  <c r="D23" i="3"/>
  <c r="E23" i="3"/>
  <c r="F23" i="3"/>
  <c r="G23" i="3"/>
  <c r="H23" i="3"/>
  <c r="T23" i="3" s="1"/>
  <c r="G14" i="7" s="1"/>
  <c r="I23" i="3"/>
  <c r="J23" i="3"/>
  <c r="V23" i="3" s="1"/>
  <c r="I14" i="7" s="1"/>
  <c r="K23" i="3"/>
  <c r="L23" i="3"/>
  <c r="M23" i="3"/>
  <c r="N23" i="3"/>
  <c r="O23" i="3"/>
  <c r="D24" i="3"/>
  <c r="P24" i="3" s="1"/>
  <c r="C21" i="7" s="1"/>
  <c r="E24" i="3"/>
  <c r="F24" i="3"/>
  <c r="R24" i="3" s="1"/>
  <c r="E21" i="7" s="1"/>
  <c r="D22" i="11" s="1"/>
  <c r="G24" i="3"/>
  <c r="H24" i="3"/>
  <c r="I24" i="3"/>
  <c r="J24" i="3"/>
  <c r="K24" i="3"/>
  <c r="L24" i="3"/>
  <c r="X24" i="3" s="1"/>
  <c r="K21" i="7" s="1"/>
  <c r="M24" i="3"/>
  <c r="N24" i="3"/>
  <c r="Z24" i="3" s="1"/>
  <c r="M21" i="7" s="1"/>
  <c r="O24" i="3"/>
  <c r="O12" i="3"/>
  <c r="N12" i="3"/>
  <c r="M12" i="3"/>
  <c r="Y12" i="3" s="1"/>
  <c r="L12" i="3"/>
  <c r="K12" i="3"/>
  <c r="J12" i="3"/>
  <c r="I12" i="3"/>
  <c r="U12" i="3" s="1"/>
  <c r="H12" i="3"/>
  <c r="G12" i="3"/>
  <c r="S12" i="3" s="1"/>
  <c r="F12" i="3"/>
  <c r="E12" i="3"/>
  <c r="Q12" i="3" s="1"/>
  <c r="D12" i="3"/>
  <c r="D8" i="3"/>
  <c r="E8" i="3"/>
  <c r="F8" i="3"/>
  <c r="G8" i="3"/>
  <c r="H8" i="3"/>
  <c r="I8" i="3"/>
  <c r="J8" i="3"/>
  <c r="K8" i="3"/>
  <c r="W8" i="3" s="1"/>
  <c r="L8" i="3"/>
  <c r="M8" i="3"/>
  <c r="N8" i="3"/>
  <c r="O8" i="3"/>
  <c r="D9" i="3"/>
  <c r="E9" i="3"/>
  <c r="F9" i="3"/>
  <c r="G9" i="3"/>
  <c r="S9" i="3" s="1"/>
  <c r="H9" i="3"/>
  <c r="I9" i="3"/>
  <c r="J9" i="3"/>
  <c r="K9" i="3"/>
  <c r="L9" i="3"/>
  <c r="M9" i="3"/>
  <c r="N9" i="3"/>
  <c r="O9" i="3"/>
  <c r="D10" i="3"/>
  <c r="E10" i="3"/>
  <c r="F10" i="3"/>
  <c r="G10" i="3"/>
  <c r="H10" i="3"/>
  <c r="I10" i="3"/>
  <c r="J10" i="3"/>
  <c r="K10" i="3"/>
  <c r="W10" i="3" s="1"/>
  <c r="L10" i="3"/>
  <c r="M10" i="3"/>
  <c r="N10" i="3"/>
  <c r="O10" i="3"/>
  <c r="O7" i="3"/>
  <c r="N7" i="3"/>
  <c r="M7" i="3"/>
  <c r="L7" i="3"/>
  <c r="X7" i="3" s="1"/>
  <c r="K7" i="3"/>
  <c r="J7" i="3"/>
  <c r="I7" i="3"/>
  <c r="U7" i="3" s="1"/>
  <c r="H7" i="3"/>
  <c r="G7" i="3"/>
  <c r="S7" i="3" s="1"/>
  <c r="F7" i="3"/>
  <c r="E7" i="3"/>
  <c r="D7" i="3"/>
  <c r="P7" i="3" s="1"/>
  <c r="V7" i="3" l="1"/>
  <c r="Q8" i="3"/>
  <c r="U67" i="3"/>
  <c r="W12" i="3"/>
  <c r="J6" i="7" s="1"/>
  <c r="P18" i="3"/>
  <c r="C17" i="7" s="1"/>
  <c r="T17" i="3"/>
  <c r="X16" i="3"/>
  <c r="K15" i="7" s="1"/>
  <c r="P16" i="3"/>
  <c r="C15" i="7" s="1"/>
  <c r="T15" i="3"/>
  <c r="G16" i="7" s="1"/>
  <c r="X14" i="3"/>
  <c r="P14" i="3"/>
  <c r="T13" i="3"/>
  <c r="S29" i="3"/>
  <c r="O28" i="3"/>
  <c r="S39" i="3"/>
  <c r="O38" i="3"/>
  <c r="S42" i="3"/>
  <c r="S47" i="3"/>
  <c r="F6" i="7"/>
  <c r="Z19" i="3"/>
  <c r="M20" i="7" s="1"/>
  <c r="R19" i="3"/>
  <c r="E20" i="7" s="1"/>
  <c r="D19" i="11" s="1"/>
  <c r="V18" i="3"/>
  <c r="I17" i="7" s="1"/>
  <c r="Z17" i="3"/>
  <c r="R17" i="3"/>
  <c r="V16" i="3"/>
  <c r="I15" i="7" s="1"/>
  <c r="Z15" i="3"/>
  <c r="M16" i="7" s="1"/>
  <c r="R15" i="3"/>
  <c r="E16" i="7" s="1"/>
  <c r="D17" i="11" s="1"/>
  <c r="E17" i="11" s="1"/>
  <c r="V14" i="3"/>
  <c r="Z13" i="3"/>
  <c r="R13" i="3"/>
  <c r="U47" i="3"/>
  <c r="U58" i="3"/>
  <c r="H6" i="7" s="1"/>
  <c r="G5" i="11" s="1"/>
  <c r="U66" i="3"/>
  <c r="V24" i="3"/>
  <c r="I21" i="7" s="1"/>
  <c r="Z23" i="3"/>
  <c r="M14" i="7" s="1"/>
  <c r="V22" i="3"/>
  <c r="I19" i="7" s="1"/>
  <c r="Z21" i="3"/>
  <c r="M18" i="7" s="1"/>
  <c r="R21" i="3"/>
  <c r="E18" i="7" s="1"/>
  <c r="D20" i="11" s="1"/>
  <c r="R7" i="3"/>
  <c r="D11" i="11" s="1"/>
  <c r="U10" i="3"/>
  <c r="G13" i="11" s="1"/>
  <c r="Y9" i="3"/>
  <c r="J12" i="11" s="1"/>
  <c r="K12" i="11" s="1"/>
  <c r="Q9" i="3"/>
  <c r="U8" i="3"/>
  <c r="Z12" i="3"/>
  <c r="Z11" i="3" s="1"/>
  <c r="O11" i="3"/>
  <c r="R23" i="3"/>
  <c r="E14" i="7" s="1"/>
  <c r="D15" i="11" s="1"/>
  <c r="E15" i="11" s="1"/>
  <c r="T7" i="3"/>
  <c r="S10" i="3"/>
  <c r="F12" i="7" s="1"/>
  <c r="W9" i="3"/>
  <c r="S8" i="3"/>
  <c r="T10" i="3"/>
  <c r="X9" i="3"/>
  <c r="P9" i="3"/>
  <c r="T8" i="3"/>
  <c r="P12" i="3"/>
  <c r="X12" i="3"/>
  <c r="W24" i="3"/>
  <c r="J21" i="7" s="1"/>
  <c r="S23" i="3"/>
  <c r="F14" i="7" s="1"/>
  <c r="W22" i="3"/>
  <c r="J19" i="7" s="1"/>
  <c r="S21" i="3"/>
  <c r="F18" i="7" s="1"/>
  <c r="W20" i="3"/>
  <c r="J13" i="7" s="1"/>
  <c r="S19" i="3"/>
  <c r="F20" i="7" s="1"/>
  <c r="W18" i="3"/>
  <c r="J17" i="7" s="1"/>
  <c r="S17" i="3"/>
  <c r="W16" i="3"/>
  <c r="J15" i="7" s="1"/>
  <c r="S15" i="3"/>
  <c r="F16" i="7" s="1"/>
  <c r="W14" i="3"/>
  <c r="S13" i="3"/>
  <c r="T24" i="3"/>
  <c r="G21" i="7" s="1"/>
  <c r="T22" i="3"/>
  <c r="G19" i="7" s="1"/>
  <c r="T20" i="3"/>
  <c r="G13" i="7" s="1"/>
  <c r="P19" i="3"/>
  <c r="C20" i="7" s="1"/>
  <c r="P17" i="3"/>
  <c r="P15" i="3"/>
  <c r="C16" i="7" s="1"/>
  <c r="P13" i="3"/>
  <c r="P67" i="3"/>
  <c r="N5" i="3"/>
  <c r="Z7" i="3"/>
  <c r="Z10" i="3"/>
  <c r="R8" i="3"/>
  <c r="U24" i="3"/>
  <c r="H21" i="7" s="1"/>
  <c r="M11" i="3"/>
  <c r="Y23" i="3"/>
  <c r="L14" i="7" s="1"/>
  <c r="Y21" i="3"/>
  <c r="L18" i="7" s="1"/>
  <c r="Y19" i="3"/>
  <c r="L20" i="7" s="1"/>
  <c r="Q19" i="3"/>
  <c r="D20" i="7" s="1"/>
  <c r="Q17" i="3"/>
  <c r="Q15" i="3"/>
  <c r="D16" i="7" s="1"/>
  <c r="Q13" i="3"/>
  <c r="Y10" i="3"/>
  <c r="J13" i="11" s="1"/>
  <c r="Q10" i="3"/>
  <c r="U9" i="3"/>
  <c r="G12" i="11" s="1"/>
  <c r="H12" i="11" s="1"/>
  <c r="Y8" i="3"/>
  <c r="X23" i="3"/>
  <c r="K14" i="7" s="1"/>
  <c r="P23" i="3"/>
  <c r="C14" i="7" s="1"/>
  <c r="X21" i="3"/>
  <c r="K18" i="7" s="1"/>
  <c r="D11" i="3"/>
  <c r="P21" i="3"/>
  <c r="C18" i="7" s="1"/>
  <c r="X19" i="3"/>
  <c r="K20" i="7" s="1"/>
  <c r="T18" i="3"/>
  <c r="G17" i="7" s="1"/>
  <c r="X17" i="3"/>
  <c r="T16" i="3"/>
  <c r="G15" i="7" s="1"/>
  <c r="X15" i="3"/>
  <c r="K16" i="7" s="1"/>
  <c r="T14" i="3"/>
  <c r="X13" i="3"/>
  <c r="W7" i="3"/>
  <c r="J12" i="7" s="1"/>
  <c r="X10" i="3"/>
  <c r="P10" i="3"/>
  <c r="T9" i="3"/>
  <c r="X8" i="3"/>
  <c r="P8" i="3"/>
  <c r="T12" i="3"/>
  <c r="S24" i="3"/>
  <c r="F21" i="7" s="1"/>
  <c r="W23" i="3"/>
  <c r="J14" i="7" s="1"/>
  <c r="S22" i="3"/>
  <c r="F19" i="7" s="1"/>
  <c r="W21" i="3"/>
  <c r="J18" i="7" s="1"/>
  <c r="S20" i="3"/>
  <c r="F13" i="7" s="1"/>
  <c r="W19" i="3"/>
  <c r="J20" i="7" s="1"/>
  <c r="S18" i="3"/>
  <c r="F17" i="7" s="1"/>
  <c r="W17" i="3"/>
  <c r="S16" i="3"/>
  <c r="F15" i="7" s="1"/>
  <c r="W15" i="3"/>
  <c r="J16" i="7" s="1"/>
  <c r="S14" i="3"/>
  <c r="W13" i="3"/>
  <c r="G11" i="11"/>
  <c r="H11" i="11" s="1"/>
  <c r="H12" i="7"/>
  <c r="Z8" i="3"/>
  <c r="F11" i="3"/>
  <c r="R12" i="3"/>
  <c r="U22" i="3"/>
  <c r="H19" i="7" s="1"/>
  <c r="G21" i="11" s="1"/>
  <c r="U20" i="3"/>
  <c r="H13" i="7" s="1"/>
  <c r="G14" i="11" s="1"/>
  <c r="Y17" i="3"/>
  <c r="Y15" i="3"/>
  <c r="L16" i="7" s="1"/>
  <c r="Y13" i="3"/>
  <c r="C12" i="7"/>
  <c r="N11" i="3"/>
  <c r="H11" i="3"/>
  <c r="R10" i="3"/>
  <c r="D13" i="11" s="1"/>
  <c r="V9" i="3"/>
  <c r="I12" i="7" s="1"/>
  <c r="Q23" i="3"/>
  <c r="D14" i="7" s="1"/>
  <c r="Q21" i="3"/>
  <c r="D18" i="7" s="1"/>
  <c r="U18" i="3"/>
  <c r="H17" i="7" s="1"/>
  <c r="U16" i="3"/>
  <c r="H15" i="7" s="1"/>
  <c r="U14" i="3"/>
  <c r="K12" i="7"/>
  <c r="L11" i="3"/>
  <c r="Q7" i="3"/>
  <c r="Y7" i="3"/>
  <c r="V10" i="3"/>
  <c r="Z9" i="3"/>
  <c r="R9" i="3"/>
  <c r="D12" i="11" s="1"/>
  <c r="V8" i="3"/>
  <c r="J11" i="3"/>
  <c r="V12" i="3"/>
  <c r="Y24" i="3"/>
  <c r="L21" i="7" s="1"/>
  <c r="Q24" i="3"/>
  <c r="D21" i="7" s="1"/>
  <c r="U23" i="3"/>
  <c r="H14" i="7" s="1"/>
  <c r="Y22" i="3"/>
  <c r="L19" i="7" s="1"/>
  <c r="J21" i="11" s="1"/>
  <c r="Q22" i="3"/>
  <c r="D19" i="7" s="1"/>
  <c r="U21" i="3"/>
  <c r="H18" i="7" s="1"/>
  <c r="Y20" i="3"/>
  <c r="L13" i="7" s="1"/>
  <c r="J14" i="11" s="1"/>
  <c r="Q20" i="3"/>
  <c r="D13" i="7" s="1"/>
  <c r="U19" i="3"/>
  <c r="H20" i="7" s="1"/>
  <c r="Y18" i="3"/>
  <c r="L17" i="7" s="1"/>
  <c r="Q18" i="3"/>
  <c r="D17" i="7" s="1"/>
  <c r="U17" i="3"/>
  <c r="Y16" i="3"/>
  <c r="L15" i="7" s="1"/>
  <c r="Q16" i="3"/>
  <c r="D15" i="7" s="1"/>
  <c r="U15" i="3"/>
  <c r="H16" i="7" s="1"/>
  <c r="Y14" i="3"/>
  <c r="Q14" i="3"/>
  <c r="I11" i="3"/>
  <c r="U13" i="3"/>
  <c r="Z36" i="3"/>
  <c r="V35" i="3"/>
  <c r="Z34" i="3"/>
  <c r="R34" i="3"/>
  <c r="V33" i="3"/>
  <c r="R32" i="3"/>
  <c r="Z30" i="3"/>
  <c r="R30" i="3"/>
  <c r="Z40" i="3"/>
  <c r="R40" i="3"/>
  <c r="Z45" i="3"/>
  <c r="R45" i="3"/>
  <c r="V44" i="3"/>
  <c r="Z43" i="3"/>
  <c r="R43" i="3"/>
  <c r="Z52" i="3"/>
  <c r="R52" i="3"/>
  <c r="V51" i="3"/>
  <c r="Z50" i="3"/>
  <c r="R50" i="3"/>
  <c r="V49" i="3"/>
  <c r="Z48" i="3"/>
  <c r="R48" i="3"/>
  <c r="Z64" i="3"/>
  <c r="R64" i="3"/>
  <c r="V63" i="3"/>
  <c r="Z62" i="3"/>
  <c r="R62" i="3"/>
  <c r="V60" i="3"/>
  <c r="Z59" i="3"/>
  <c r="M8" i="7" s="1"/>
  <c r="R59" i="3"/>
  <c r="E8" i="7" s="1"/>
  <c r="D7" i="11" s="1"/>
  <c r="Z69" i="3"/>
  <c r="R69" i="3"/>
  <c r="V68" i="3"/>
  <c r="Z67" i="3"/>
  <c r="R67" i="3"/>
  <c r="R36" i="3"/>
  <c r="Z32" i="3"/>
  <c r="V31" i="3"/>
  <c r="X35" i="3"/>
  <c r="P35" i="3"/>
  <c r="X33" i="3"/>
  <c r="P33" i="3"/>
  <c r="T32" i="3"/>
  <c r="X31" i="3"/>
  <c r="P31" i="3"/>
  <c r="T30" i="3"/>
  <c r="T40" i="3"/>
  <c r="T45" i="3"/>
  <c r="X44" i="3"/>
  <c r="P44" i="3"/>
  <c r="T43" i="3"/>
  <c r="T52" i="3"/>
  <c r="X51" i="3"/>
  <c r="P51" i="3"/>
  <c r="T50" i="3"/>
  <c r="X49" i="3"/>
  <c r="P49" i="3"/>
  <c r="T48" i="3"/>
  <c r="T64" i="3"/>
  <c r="X63" i="3"/>
  <c r="P63" i="3"/>
  <c r="T62" i="3"/>
  <c r="X60" i="3"/>
  <c r="P60" i="3"/>
  <c r="T59" i="3"/>
  <c r="G8" i="7" s="1"/>
  <c r="T69" i="3"/>
  <c r="X68" i="3"/>
  <c r="P68" i="3"/>
  <c r="T67" i="3"/>
  <c r="T36" i="3"/>
  <c r="T34" i="3"/>
  <c r="X43" i="3"/>
  <c r="P43" i="3"/>
  <c r="X52" i="3"/>
  <c r="P52" i="3"/>
  <c r="T51" i="3"/>
  <c r="X50" i="3"/>
  <c r="P50" i="3"/>
  <c r="T49" i="3"/>
  <c r="X48" i="3"/>
  <c r="P48" i="3"/>
  <c r="X64" i="3"/>
  <c r="P64" i="3"/>
  <c r="T63" i="3"/>
  <c r="X62" i="3"/>
  <c r="P62" i="3"/>
  <c r="T60" i="3"/>
  <c r="X59" i="3"/>
  <c r="K8" i="7" s="1"/>
  <c r="P59" i="3"/>
  <c r="C8" i="7" s="1"/>
  <c r="X69" i="3"/>
  <c r="P69" i="3"/>
  <c r="T68" i="3"/>
  <c r="Q29" i="3"/>
  <c r="Y29" i="3"/>
  <c r="Q39" i="3"/>
  <c r="Y39" i="3"/>
  <c r="Q42" i="3"/>
  <c r="Y42" i="3"/>
  <c r="Q47" i="3"/>
  <c r="Y47" i="3"/>
  <c r="Q58" i="3"/>
  <c r="D6" i="7" s="1"/>
  <c r="Y58" i="3"/>
  <c r="L6" i="7" s="1"/>
  <c r="J5" i="11" s="1"/>
  <c r="Q66" i="3"/>
  <c r="Y66" i="3"/>
  <c r="R68" i="3"/>
  <c r="Q67" i="3"/>
  <c r="U29" i="3"/>
  <c r="U39" i="3"/>
  <c r="U42" i="3"/>
  <c r="X36" i="3"/>
  <c r="X34" i="3"/>
  <c r="P34" i="3"/>
  <c r="X32" i="3"/>
  <c r="P32" i="3"/>
  <c r="T31" i="3"/>
  <c r="X30" i="3"/>
  <c r="P30" i="3"/>
  <c r="X40" i="3"/>
  <c r="P40" i="3"/>
  <c r="X45" i="3"/>
  <c r="P45" i="3"/>
  <c r="T44" i="3"/>
  <c r="P36" i="3"/>
  <c r="T33" i="3"/>
  <c r="T35" i="3"/>
  <c r="S68" i="3"/>
  <c r="X66" i="3"/>
  <c r="X67" i="3"/>
  <c r="P66" i="3"/>
  <c r="N28" i="3"/>
  <c r="N38" i="3"/>
  <c r="N57" i="3"/>
  <c r="N65" i="3"/>
  <c r="T29" i="3"/>
  <c r="S36" i="3"/>
  <c r="W35" i="3"/>
  <c r="S34" i="3"/>
  <c r="W33" i="3"/>
  <c r="S32" i="3"/>
  <c r="W31" i="3"/>
  <c r="S30" i="3"/>
  <c r="T39" i="3"/>
  <c r="S40" i="3"/>
  <c r="T42" i="3"/>
  <c r="S45" i="3"/>
  <c r="W44" i="3"/>
  <c r="S43" i="3"/>
  <c r="T47" i="3"/>
  <c r="S52" i="3"/>
  <c r="W51" i="3"/>
  <c r="S50" i="3"/>
  <c r="W49" i="3"/>
  <c r="S48" i="3"/>
  <c r="T58" i="3"/>
  <c r="G6" i="7" s="1"/>
  <c r="S64" i="3"/>
  <c r="W63" i="3"/>
  <c r="S62" i="3"/>
  <c r="W60" i="3"/>
  <c r="S59" i="3"/>
  <c r="F8" i="7" s="1"/>
  <c r="T66" i="3"/>
  <c r="S69" i="3"/>
  <c r="W68" i="3"/>
  <c r="S67" i="3"/>
  <c r="I9" i="7"/>
  <c r="V29" i="3"/>
  <c r="Y36" i="3"/>
  <c r="Q36" i="3"/>
  <c r="U35" i="3"/>
  <c r="Y34" i="3"/>
  <c r="Q34" i="3"/>
  <c r="U33" i="3"/>
  <c r="Y32" i="3"/>
  <c r="Q32" i="3"/>
  <c r="U31" i="3"/>
  <c r="Y30" i="3"/>
  <c r="Q30" i="3"/>
  <c r="V39" i="3"/>
  <c r="Y40" i="3"/>
  <c r="Q40" i="3"/>
  <c r="V42" i="3"/>
  <c r="Y45" i="3"/>
  <c r="Q45" i="3"/>
  <c r="U44" i="3"/>
  <c r="Y43" i="3"/>
  <c r="Q43" i="3"/>
  <c r="V47" i="3"/>
  <c r="Y52" i="3"/>
  <c r="Q52" i="3"/>
  <c r="U51" i="3"/>
  <c r="Y50" i="3"/>
  <c r="Q50" i="3"/>
  <c r="U49" i="3"/>
  <c r="Y48" i="3"/>
  <c r="Q48" i="3"/>
  <c r="V58" i="3"/>
  <c r="Y64" i="3"/>
  <c r="Q64" i="3"/>
  <c r="U63" i="3"/>
  <c r="Y62" i="3"/>
  <c r="Q62" i="3"/>
  <c r="U60" i="3"/>
  <c r="Y59" i="3"/>
  <c r="L8" i="7" s="1"/>
  <c r="J7" i="11" s="1"/>
  <c r="K7" i="11" s="1"/>
  <c r="Q59" i="3"/>
  <c r="D8" i="7" s="1"/>
  <c r="V66" i="3"/>
  <c r="Y69" i="3"/>
  <c r="Q69" i="3"/>
  <c r="U68" i="3"/>
  <c r="Y67" i="3"/>
  <c r="P29" i="3"/>
  <c r="X29" i="3"/>
  <c r="W36" i="3"/>
  <c r="S35" i="3"/>
  <c r="W34" i="3"/>
  <c r="S33" i="3"/>
  <c r="W32" i="3"/>
  <c r="S31" i="3"/>
  <c r="W30" i="3"/>
  <c r="P39" i="3"/>
  <c r="X39" i="3"/>
  <c r="W40" i="3"/>
  <c r="P42" i="3"/>
  <c r="X42" i="3"/>
  <c r="W45" i="3"/>
  <c r="S44" i="3"/>
  <c r="W43" i="3"/>
  <c r="P47" i="3"/>
  <c r="X47" i="3"/>
  <c r="W52" i="3"/>
  <c r="S51" i="3"/>
  <c r="W50" i="3"/>
  <c r="S49" i="3"/>
  <c r="W48" i="3"/>
  <c r="P58" i="3"/>
  <c r="X58" i="3"/>
  <c r="K6" i="7" s="1"/>
  <c r="W64" i="3"/>
  <c r="S63" i="3"/>
  <c r="W62" i="3"/>
  <c r="S60" i="3"/>
  <c r="W59" i="3"/>
  <c r="J8" i="7" s="1"/>
  <c r="W69" i="3"/>
  <c r="W67" i="3"/>
  <c r="M9" i="7"/>
  <c r="V69" i="3"/>
  <c r="Z68" i="3"/>
  <c r="V67" i="3"/>
  <c r="R29" i="3"/>
  <c r="Z29" i="3"/>
  <c r="U36" i="3"/>
  <c r="Y35" i="3"/>
  <c r="Q35" i="3"/>
  <c r="U34" i="3"/>
  <c r="Y33" i="3"/>
  <c r="Q33" i="3"/>
  <c r="U32" i="3"/>
  <c r="Y31" i="3"/>
  <c r="Q31" i="3"/>
  <c r="U30" i="3"/>
  <c r="R39" i="3"/>
  <c r="Z39" i="3"/>
  <c r="U40" i="3"/>
  <c r="R42" i="3"/>
  <c r="Z42" i="3"/>
  <c r="U45" i="3"/>
  <c r="Y44" i="3"/>
  <c r="Q44" i="3"/>
  <c r="U43" i="3"/>
  <c r="R47" i="3"/>
  <c r="Z47" i="3"/>
  <c r="U52" i="3"/>
  <c r="Y51" i="3"/>
  <c r="Q51" i="3"/>
  <c r="U50" i="3"/>
  <c r="Y49" i="3"/>
  <c r="Q49" i="3"/>
  <c r="U48" i="3"/>
  <c r="R58" i="3"/>
  <c r="E6" i="7" s="1"/>
  <c r="D5" i="11" s="1"/>
  <c r="Z58" i="3"/>
  <c r="U64" i="3"/>
  <c r="Y63" i="3"/>
  <c r="Q63" i="3"/>
  <c r="U62" i="3"/>
  <c r="Y60" i="3"/>
  <c r="Q60" i="3"/>
  <c r="U59" i="3"/>
  <c r="H8" i="7" s="1"/>
  <c r="G7" i="11" s="1"/>
  <c r="H7" i="11" s="1"/>
  <c r="R66" i="3"/>
  <c r="Z66" i="3"/>
  <c r="U69" i="3"/>
  <c r="Y68" i="3"/>
  <c r="Q68" i="3"/>
  <c r="K11" i="3"/>
  <c r="E11" i="3"/>
  <c r="G11" i="3"/>
  <c r="O5" i="3"/>
  <c r="O103" i="3" s="1"/>
  <c r="Y5" i="3" l="1"/>
  <c r="I6" i="7"/>
  <c r="C9" i="7"/>
  <c r="E9" i="7"/>
  <c r="D8" i="11" s="1"/>
  <c r="Y11" i="3"/>
  <c r="G12" i="7"/>
  <c r="C6" i="7"/>
  <c r="H20" i="11"/>
  <c r="G20" i="11"/>
  <c r="J16" i="11"/>
  <c r="K16" i="11" s="1"/>
  <c r="G16" i="11"/>
  <c r="H16" i="11" s="1"/>
  <c r="J17" i="11"/>
  <c r="K17" i="11" s="1"/>
  <c r="G17" i="11"/>
  <c r="H17" i="11" s="1"/>
  <c r="G18" i="11"/>
  <c r="H18" i="11" s="1"/>
  <c r="J19" i="11"/>
  <c r="K19" i="11" s="1"/>
  <c r="M12" i="7"/>
  <c r="Z5" i="3"/>
  <c r="J20" i="11"/>
  <c r="K20" i="11" s="1"/>
  <c r="J18" i="11"/>
  <c r="K18" i="11" s="1"/>
  <c r="J11" i="11"/>
  <c r="K11" i="11" s="1"/>
  <c r="L12" i="7"/>
  <c r="E12" i="7"/>
  <c r="J15" i="11"/>
  <c r="K15" i="11" s="1"/>
  <c r="G15" i="11"/>
  <c r="H15" i="11" s="1"/>
  <c r="H19" i="11"/>
  <c r="G19" i="11"/>
  <c r="J22" i="11"/>
  <c r="K22" i="11" s="1"/>
  <c r="D12" i="7"/>
  <c r="E11" i="11"/>
  <c r="G22" i="11"/>
  <c r="H22" i="11" s="1"/>
  <c r="G9" i="7"/>
  <c r="K9" i="7"/>
  <c r="Z28" i="3"/>
  <c r="Z65" i="3"/>
  <c r="M11" i="7" s="1"/>
  <c r="Y65" i="3"/>
  <c r="L11" i="7" s="1"/>
  <c r="J10" i="11" s="1"/>
  <c r="K10" i="11" s="1"/>
  <c r="N103" i="3"/>
  <c r="D9" i="7"/>
  <c r="Z38" i="3"/>
  <c r="M7" i="7" s="1"/>
  <c r="Y38" i="3"/>
  <c r="L7" i="7" s="1"/>
  <c r="F9" i="7"/>
  <c r="L9" i="7"/>
  <c r="H9" i="7"/>
  <c r="M10" i="7"/>
  <c r="Y57" i="3"/>
  <c r="J9" i="7"/>
  <c r="K5" i="11"/>
  <c r="J29" i="11"/>
  <c r="M6" i="7"/>
  <c r="Z57" i="3"/>
  <c r="G29" i="11"/>
  <c r="D29" i="11"/>
  <c r="C33" i="5"/>
  <c r="D33" i="5"/>
  <c r="E33" i="5"/>
  <c r="F33" i="5"/>
  <c r="G33" i="5"/>
  <c r="H33" i="5"/>
  <c r="I33" i="5"/>
  <c r="J33" i="5"/>
  <c r="K33" i="5"/>
  <c r="L33" i="5"/>
  <c r="M33" i="5"/>
  <c r="B33" i="5"/>
  <c r="G8" i="11" l="1"/>
  <c r="H8" i="11" s="1"/>
  <c r="J8" i="11"/>
  <c r="K8" i="11" s="1"/>
  <c r="J6" i="11"/>
  <c r="K6" i="11" s="1"/>
  <c r="Z103" i="3"/>
  <c r="E5" i="11"/>
  <c r="M22" i="7"/>
  <c r="C20" i="4"/>
  <c r="D20" i="4"/>
  <c r="E20" i="4"/>
  <c r="F20" i="4"/>
  <c r="G20" i="4"/>
  <c r="H20" i="4"/>
  <c r="I20" i="4"/>
  <c r="J20" i="4"/>
  <c r="K20" i="4"/>
  <c r="L20" i="4"/>
  <c r="M20" i="4"/>
  <c r="B20" i="4"/>
  <c r="X99" i="3"/>
  <c r="W99" i="3"/>
  <c r="V99" i="3"/>
  <c r="U99" i="3"/>
  <c r="T99" i="3"/>
  <c r="S99" i="3"/>
  <c r="R99" i="3"/>
  <c r="Q99" i="3"/>
  <c r="P99" i="3"/>
  <c r="M99" i="3"/>
  <c r="L99" i="3"/>
  <c r="K99" i="3"/>
  <c r="J99" i="3"/>
  <c r="I99" i="3"/>
  <c r="H99" i="3"/>
  <c r="G99" i="3"/>
  <c r="F99" i="3"/>
  <c r="E99" i="3"/>
  <c r="D99" i="3"/>
  <c r="X85" i="3"/>
  <c r="W85" i="3"/>
  <c r="V85" i="3"/>
  <c r="U85" i="3"/>
  <c r="T85" i="3"/>
  <c r="S85" i="3"/>
  <c r="R85" i="3"/>
  <c r="Q85" i="3"/>
  <c r="P85" i="3"/>
  <c r="M85" i="3"/>
  <c r="L85" i="3"/>
  <c r="K85" i="3"/>
  <c r="J85" i="3"/>
  <c r="I85" i="3"/>
  <c r="H85" i="3"/>
  <c r="G85" i="3"/>
  <c r="F85" i="3"/>
  <c r="E85" i="3"/>
  <c r="D85" i="3"/>
  <c r="X76" i="3"/>
  <c r="W76" i="3"/>
  <c r="V76" i="3"/>
  <c r="U76" i="3"/>
  <c r="T76" i="3"/>
  <c r="S76" i="3"/>
  <c r="R76" i="3"/>
  <c r="L76" i="3"/>
  <c r="K76" i="3"/>
  <c r="J76" i="3"/>
  <c r="I76" i="3"/>
  <c r="H76" i="3"/>
  <c r="G76" i="3"/>
  <c r="F76" i="3"/>
  <c r="X70" i="3"/>
  <c r="W70" i="3"/>
  <c r="V70" i="3"/>
  <c r="U70" i="3"/>
  <c r="T70" i="3"/>
  <c r="S70" i="3"/>
  <c r="R70" i="3"/>
  <c r="Q70" i="3"/>
  <c r="P70" i="3"/>
  <c r="M70" i="3"/>
  <c r="L70" i="3"/>
  <c r="K70" i="3"/>
  <c r="J70" i="3"/>
  <c r="I70" i="3"/>
  <c r="H70" i="3"/>
  <c r="G70" i="3"/>
  <c r="F70" i="3"/>
  <c r="E70" i="3"/>
  <c r="D70" i="3"/>
  <c r="M37" i="3"/>
  <c r="Y37" i="3" s="1"/>
  <c r="Y28" i="3" s="1"/>
  <c r="L37" i="3"/>
  <c r="K37" i="3"/>
  <c r="W37" i="3" s="1"/>
  <c r="J37" i="3"/>
  <c r="I37" i="3"/>
  <c r="H37" i="3"/>
  <c r="T37" i="3" s="1"/>
  <c r="G37" i="3"/>
  <c r="F37" i="3"/>
  <c r="E37" i="3"/>
  <c r="D37" i="3"/>
  <c r="P37" i="3" l="1"/>
  <c r="Q37" i="3"/>
  <c r="V37" i="3"/>
  <c r="U37" i="3"/>
  <c r="X37" i="3"/>
  <c r="L10" i="7"/>
  <c r="J9" i="11" s="1"/>
  <c r="Y103" i="3"/>
  <c r="R37" i="3"/>
  <c r="S37" i="3"/>
  <c r="K28" i="3"/>
  <c r="H5" i="3"/>
  <c r="I38" i="3"/>
  <c r="E5" i="3"/>
  <c r="H65" i="3"/>
  <c r="D5" i="3"/>
  <c r="L5" i="3"/>
  <c r="F5" i="3"/>
  <c r="G38" i="3"/>
  <c r="F28" i="3"/>
  <c r="H38" i="3"/>
  <c r="I65" i="3"/>
  <c r="J57" i="3"/>
  <c r="I5" i="3"/>
  <c r="I57" i="3"/>
  <c r="K57" i="3"/>
  <c r="G57" i="3"/>
  <c r="M65" i="3"/>
  <c r="K65" i="3"/>
  <c r="G65" i="3"/>
  <c r="L65" i="3"/>
  <c r="G5" i="3"/>
  <c r="D38" i="3"/>
  <c r="L38" i="3"/>
  <c r="D57" i="3"/>
  <c r="H57" i="3"/>
  <c r="L57" i="3"/>
  <c r="D65" i="3"/>
  <c r="J38" i="3"/>
  <c r="M5" i="3"/>
  <c r="K5" i="3"/>
  <c r="G28" i="3"/>
  <c r="D28" i="3"/>
  <c r="L28" i="3"/>
  <c r="E38" i="3"/>
  <c r="M38" i="3"/>
  <c r="E57" i="3"/>
  <c r="M57" i="3"/>
  <c r="H28" i="3"/>
  <c r="F57" i="3"/>
  <c r="F65" i="3"/>
  <c r="E28" i="3"/>
  <c r="M28" i="3"/>
  <c r="F38" i="3"/>
  <c r="J28" i="3"/>
  <c r="E65" i="3"/>
  <c r="J65" i="3"/>
  <c r="J5" i="3"/>
  <c r="I28" i="3"/>
  <c r="K38" i="3"/>
  <c r="Q65" i="3"/>
  <c r="D11" i="7" s="1"/>
  <c r="L22" i="7" l="1"/>
  <c r="X5" i="3"/>
  <c r="S5" i="3"/>
  <c r="V5" i="3"/>
  <c r="X28" i="3"/>
  <c r="K10" i="7" s="1"/>
  <c r="P5" i="3"/>
  <c r="P65" i="3"/>
  <c r="C11" i="7" s="1"/>
  <c r="E103" i="3"/>
  <c r="V65" i="3"/>
  <c r="I11" i="7" s="1"/>
  <c r="L103" i="3"/>
  <c r="X65" i="3"/>
  <c r="K11" i="7" s="1"/>
  <c r="R5" i="3"/>
  <c r="P28" i="3"/>
  <c r="C10" i="7" s="1"/>
  <c r="P57" i="3"/>
  <c r="U5" i="3"/>
  <c r="W65" i="3"/>
  <c r="J11" i="7" s="1"/>
  <c r="I103" i="3"/>
  <c r="W57" i="3"/>
  <c r="T38" i="3"/>
  <c r="G7" i="7" s="1"/>
  <c r="R11" i="3"/>
  <c r="K103" i="3"/>
  <c r="V57" i="3"/>
  <c r="R28" i="3"/>
  <c r="E10" i="7" s="1"/>
  <c r="D9" i="11" s="1"/>
  <c r="U11" i="3"/>
  <c r="D103" i="3"/>
  <c r="H103" i="3"/>
  <c r="T28" i="3"/>
  <c r="G10" i="7" s="1"/>
  <c r="G103" i="3"/>
  <c r="U65" i="3"/>
  <c r="H11" i="7" s="1"/>
  <c r="G10" i="11" s="1"/>
  <c r="H10" i="11" s="1"/>
  <c r="X57" i="3"/>
  <c r="M103" i="3"/>
  <c r="U57" i="3"/>
  <c r="Q5" i="3"/>
  <c r="F103" i="3"/>
  <c r="R65" i="3"/>
  <c r="E11" i="7" s="1"/>
  <c r="D10" i="11" s="1"/>
  <c r="U28" i="3"/>
  <c r="H10" i="7" s="1"/>
  <c r="G9" i="11" s="1"/>
  <c r="U38" i="3"/>
  <c r="H7" i="7" s="1"/>
  <c r="R38" i="3"/>
  <c r="E7" i="7" s="1"/>
  <c r="D6" i="11" s="1"/>
  <c r="X11" i="3"/>
  <c r="S28" i="3"/>
  <c r="F10" i="7" s="1"/>
  <c r="V11" i="3"/>
  <c r="S57" i="3"/>
  <c r="S65" i="3"/>
  <c r="F11" i="7" s="1"/>
  <c r="W5" i="3"/>
  <c r="W38" i="3"/>
  <c r="J7" i="7" s="1"/>
  <c r="T5" i="3"/>
  <c r="W28" i="3"/>
  <c r="J10" i="7" s="1"/>
  <c r="V38" i="3"/>
  <c r="I7" i="7" s="1"/>
  <c r="T11" i="3"/>
  <c r="W11" i="3"/>
  <c r="X38" i="3"/>
  <c r="K7" i="7" s="1"/>
  <c r="S38" i="3"/>
  <c r="F7" i="7" s="1"/>
  <c r="Q28" i="3"/>
  <c r="D10" i="7" s="1"/>
  <c r="D22" i="7" s="1"/>
  <c r="R57" i="3"/>
  <c r="Q57" i="3"/>
  <c r="Q11" i="3"/>
  <c r="P38" i="3"/>
  <c r="C7" i="7" s="1"/>
  <c r="T57" i="3"/>
  <c r="J103" i="3"/>
  <c r="Q38" i="3"/>
  <c r="D7" i="7" s="1"/>
  <c r="V28" i="3"/>
  <c r="I10" i="7" s="1"/>
  <c r="T65" i="3"/>
  <c r="G11" i="7" s="1"/>
  <c r="S11" i="3"/>
  <c r="P11" i="3"/>
  <c r="G6" i="11" l="1"/>
  <c r="H6" i="11" s="1"/>
  <c r="I22" i="7"/>
  <c r="J22" i="7"/>
  <c r="E6" i="11"/>
  <c r="C22" i="7"/>
  <c r="K22" i="7"/>
  <c r="G22" i="7"/>
  <c r="F22" i="7"/>
  <c r="K9" i="11"/>
  <c r="J25" i="11"/>
  <c r="C7" i="12" s="1"/>
  <c r="E22" i="7"/>
  <c r="H22" i="7"/>
  <c r="X103" i="3"/>
  <c r="U103" i="3"/>
  <c r="P103" i="3"/>
  <c r="W103" i="3"/>
  <c r="Q103" i="3"/>
  <c r="T103" i="3"/>
  <c r="S103" i="3"/>
  <c r="V103" i="3"/>
  <c r="R103" i="3"/>
  <c r="K25" i="11" l="1"/>
  <c r="E9" i="11"/>
  <c r="D25" i="11"/>
  <c r="C5" i="12" s="1"/>
  <c r="H9" i="11"/>
  <c r="G25" i="11"/>
  <c r="C6" i="12" s="1"/>
  <c r="H25" i="11" l="1"/>
  <c r="E2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2" authorId="0" shapeId="0" xr:uid="{0B88F3C9-0988-4B5B-A6EF-2FAC62A658F2}">
      <text>
        <r>
          <rPr>
            <b/>
            <sz val="9"/>
            <color indexed="81"/>
            <rFont val="Tahoma"/>
            <family val="2"/>
          </rPr>
          <t xml:space="preserve">Author: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Subrata</author>
  </authors>
  <commentList>
    <comment ref="B6" authorId="0" shapeId="0" xr:uid="{A7B6FD41-1067-476D-A63F-B913BDA36EDE}">
      <text>
        <r>
          <rPr>
            <b/>
            <sz val="9"/>
            <color indexed="81"/>
            <rFont val="Tahoma"/>
            <charset val="1"/>
          </rPr>
          <t>Subrata:</t>
        </r>
        <r>
          <rPr>
            <sz val="9"/>
            <color indexed="81"/>
            <rFont val="Tahoma"/>
            <charset val="1"/>
          </rPr>
          <t xml:space="preserve">
Chemicals (Manufacturing)+Chemicals (IPPU)+Fertilizers</t>
        </r>
      </text>
    </comment>
    <comment ref="B8" authorId="0" shapeId="0" xr:uid="{A23E1AB7-AB92-4695-BA14-3B4F8745334D}">
      <text>
        <r>
          <rPr>
            <b/>
            <sz val="9"/>
            <color indexed="81"/>
            <rFont val="Tahoma"/>
            <charset val="1"/>
          </rPr>
          <t xml:space="preserve">Subrata:
</t>
        </r>
        <r>
          <rPr>
            <sz val="9"/>
            <color indexed="81"/>
            <rFont val="Tahoma"/>
            <family val="2"/>
          </rPr>
          <t>Nonferrous metals (manufacturing) + Lead, Zinc, Aluminium &amp; Magnesium (IPPU)</t>
        </r>
      </text>
    </comment>
    <comment ref="B9" authorId="0" shapeId="0" xr:uid="{FFCC236C-5732-413B-A869-3EE199CD7A40}">
      <text>
        <r>
          <rPr>
            <b/>
            <sz val="9"/>
            <color indexed="81"/>
            <rFont val="Tahoma"/>
            <family val="2"/>
          </rPr>
          <t>Subrata:</t>
        </r>
        <r>
          <rPr>
            <sz val="9"/>
            <color indexed="81"/>
            <rFont val="Tahoma"/>
            <family val="2"/>
          </rPr>
          <t xml:space="preserve">
Manufacturing (Cement) + Minerals (IPPU)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2" authorId="0" shapeId="0" xr:uid="{B90A12DD-CB79-48E7-8F86-113B0891B082}">
      <text>
        <r>
          <rPr>
            <b/>
            <sz val="9"/>
            <color indexed="81"/>
            <rFont val="Tahoma"/>
            <family val="2"/>
          </rPr>
          <t>Author:</t>
        </r>
        <r>
          <rPr>
            <sz val="9"/>
            <color indexed="81"/>
            <rFont val="Tahoma"/>
            <family val="2"/>
          </rPr>
          <t xml:space="preserve">
lubricant consumption in coal mining activities. The emissions are included within IPCC sector code 2D1(lubricant consumption in manufacturing activities)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8B0AF16-DCA6-4736-94A9-89E1D2BAD3B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F1CF0FB3-68EB-422F-995F-83AF4ED4EDDF}" name="WorksheetConnection_2!$B$5:$M$20" type="102" refreshedVersion="6" minRefreshableVersion="5">
    <extLst>
      <ext xmlns:x15="http://schemas.microsoft.com/office/spreadsheetml/2010/11/main" uri="{DE250136-89BD-433C-8126-D09CA5730AF9}">
        <x15:connection id="Range">
          <x15:rangePr sourceName="_xlcn.WorksheetConnection_2B5M20"/>
        </x15:connection>
      </ext>
    </extLst>
  </connection>
</connections>
</file>

<file path=xl/sharedStrings.xml><?xml version="1.0" encoding="utf-8"?>
<sst xmlns="http://schemas.openxmlformats.org/spreadsheetml/2006/main" count="756" uniqueCount="357">
  <si>
    <t>Sector</t>
  </si>
  <si>
    <t>Manufacturing Sector</t>
  </si>
  <si>
    <t>Version</t>
  </si>
  <si>
    <t>Time Series</t>
  </si>
  <si>
    <t>Level of Disaggregation</t>
  </si>
  <si>
    <t>National level data</t>
  </si>
  <si>
    <t>Sub-sector Disaggregation</t>
  </si>
  <si>
    <t>Sector Description</t>
  </si>
  <si>
    <t xml:space="preserve">Manufacturing contribute approximately one fourth of India’s total GHG emissions. Manufacturing sector emissions have been developed using a systematic approach of assessing a wide range of energy consumption, industrial process, and product use from approximately two million industrial units per year.
The emissions have been estimated as per the IPCC classification for manufacturing industries. The data trend, disaggregated at the sub-sector level could inform policymakers and industries to improve energy efficiency and emission intensity. Emissions related to captive power generation is already accounted somewhere else (Refer: Energy and electricity sector estimates at http://ghgplatform-india.org), and hence not been accounted to avoid any duplication.
</t>
  </si>
  <si>
    <t>About GHG Platform</t>
  </si>
  <si>
    <t>Lead Institution</t>
  </si>
  <si>
    <t>Council on Energy, Environment and Water (CEEW)</t>
  </si>
  <si>
    <t>Contact Details</t>
  </si>
  <si>
    <t>Usage Policy</t>
  </si>
  <si>
    <t xml:space="preserve"> Any re-production or re-distribution of the material(s) and information displayed and published on this Website/GHG Platform India/Portal shall be accompanied by appropriate citation and due acknowledgment to the CEEW and the GHG Platform India for such material(s) and information.
You must give appropriate credit, provide a link, and indicate if changes were made. You may do so in any reasonable manner, but not in any way that suggests the GHG Plaform India endorses you or your use. Data sheets may be revised or updated from time to time. The latest version of each data sheet will be posted on the website. To keep abreast of these changes, please email us at info@ghgplatform-india.org so that we may inform you when data sheets have been updated.</t>
  </si>
  <si>
    <t>Citation</t>
  </si>
  <si>
    <t>Disclaimer</t>
  </si>
  <si>
    <t>The data used for arriving at the results of this study is from published, secondary sources, or wholly or in part from official sources that have been duly acknowledged. The veracity of the data has been corroborated to the maximum extent possible.  However, the GHG Platform India shall not be held liable and responsible to establish the veracity of or corroborate such content or data and shall not be responsible or liable for any consequences that arise from and / or any harm or loss caused by way of placing reliance on the material(s) and information displayed and published on the website or by further use and analysis of the results of this study.</t>
  </si>
  <si>
    <t>Tab</t>
  </si>
  <si>
    <t>Description</t>
  </si>
  <si>
    <t>GHG Emissions as per IPCC format (financial year as well as calender year format)</t>
  </si>
  <si>
    <t>Sub-sector level variation between CEEW and national estimates (INCCA and BUR)</t>
  </si>
  <si>
    <t>Trendline for CEEW estimates on GHG emissions</t>
  </si>
  <si>
    <t>GHG emissions (energy use) at IPCC classification system</t>
  </si>
  <si>
    <t>GHG emissions (IPPU) at IPCC classification system</t>
  </si>
  <si>
    <t>Activity data sources</t>
  </si>
  <si>
    <t>Consolidated comparison of emissions of CEEW estimates from 2005 to 2015</t>
  </si>
  <si>
    <t>Year-on-year emissions chart for consolidated sectors from 2005 to 2015</t>
  </si>
  <si>
    <t>Table 1: GHG Emissions as per IPCC format (financial year as well as calender year format)</t>
  </si>
  <si>
    <t>Financial Years</t>
  </si>
  <si>
    <t>Calendar Years</t>
  </si>
  <si>
    <t>2004-05</t>
  </si>
  <si>
    <t>2005-06</t>
  </si>
  <si>
    <t>2006-07</t>
  </si>
  <si>
    <t>2007-08</t>
  </si>
  <si>
    <t>2008-09</t>
  </si>
  <si>
    <t>2009-10</t>
  </si>
  <si>
    <t>2010-11</t>
  </si>
  <si>
    <t>2011-12</t>
  </si>
  <si>
    <t>2012-13</t>
  </si>
  <si>
    <t>2013-14</t>
  </si>
  <si>
    <t>IPCC codes</t>
  </si>
  <si>
    <t>Sector/Subsector - as per IPCC, 2006 classification</t>
  </si>
  <si>
    <t>CO2e ('000T)</t>
  </si>
  <si>
    <t>CO2e (million tonnes)</t>
  </si>
  <si>
    <t>Energy Use emissions</t>
  </si>
  <si>
    <t>1A1</t>
  </si>
  <si>
    <t>Fuel Combustion Activities &gt; Energy industries</t>
  </si>
  <si>
    <t>1A1a</t>
  </si>
  <si>
    <t>Main Activity Electricity and Heat production (utility + captive)</t>
  </si>
  <si>
    <t>Beyond our current scope</t>
  </si>
  <si>
    <t>1A1b</t>
  </si>
  <si>
    <t>Petroleum refining</t>
  </si>
  <si>
    <t>1A1c</t>
  </si>
  <si>
    <t>Manufacture of Solid Fuels and other Energy Industries</t>
  </si>
  <si>
    <t>1A1ci</t>
  </si>
  <si>
    <t>Manufacture of Solid Fuel</t>
  </si>
  <si>
    <t>1A1cii</t>
  </si>
  <si>
    <t>Other Energy Industry</t>
  </si>
  <si>
    <t>1A2</t>
  </si>
  <si>
    <t>1A2: Manufacturing Industries and Construction</t>
  </si>
  <si>
    <t>1A2a</t>
  </si>
  <si>
    <t>Iron and Steel</t>
  </si>
  <si>
    <t>1A2b</t>
  </si>
  <si>
    <t>Non-Ferrous Metals</t>
  </si>
  <si>
    <t>1A2c</t>
  </si>
  <si>
    <t>chemicals</t>
  </si>
  <si>
    <t>1A2d</t>
  </si>
  <si>
    <t>Pulp, Paper and Print</t>
  </si>
  <si>
    <t>1A2e</t>
  </si>
  <si>
    <t>Food Processing, Beverages and Tobacco</t>
  </si>
  <si>
    <t>1A2f</t>
  </si>
  <si>
    <t>non-metallic minerals</t>
  </si>
  <si>
    <t>1A2g</t>
  </si>
  <si>
    <t>Transport Equipment</t>
  </si>
  <si>
    <t>1A2h</t>
  </si>
  <si>
    <t>Machinery</t>
  </si>
  <si>
    <t>1A2i</t>
  </si>
  <si>
    <t>Mining (excluding fuels) and Quarrying</t>
  </si>
  <si>
    <t>1A2j</t>
  </si>
  <si>
    <t>Wood and Wood Products</t>
  </si>
  <si>
    <t>1A2k</t>
  </si>
  <si>
    <t>Construction</t>
  </si>
  <si>
    <t>1A2l</t>
  </si>
  <si>
    <t>Textile and Leather</t>
  </si>
  <si>
    <t>1A2m</t>
  </si>
  <si>
    <t>Non-specified Industry</t>
  </si>
  <si>
    <t>1A3</t>
  </si>
  <si>
    <t>Transport</t>
  </si>
  <si>
    <t>1A4</t>
  </si>
  <si>
    <t>other sectors</t>
  </si>
  <si>
    <t>1A5</t>
  </si>
  <si>
    <t>Non-specified</t>
  </si>
  <si>
    <t>Industry Process and Product Use (IPPU)</t>
  </si>
  <si>
    <t>2A</t>
  </si>
  <si>
    <t>2A Mineral Industry</t>
  </si>
  <si>
    <t>2A1</t>
  </si>
  <si>
    <t>Cement Production</t>
  </si>
  <si>
    <t>2A2</t>
  </si>
  <si>
    <t>Lime Production</t>
  </si>
  <si>
    <t>2A3</t>
  </si>
  <si>
    <t>Glass Production</t>
  </si>
  <si>
    <t>2A4</t>
  </si>
  <si>
    <t>Other Process Uses of Carbotes</t>
  </si>
  <si>
    <t>2A4a</t>
  </si>
  <si>
    <t>Ceramics</t>
  </si>
  <si>
    <t>2A4b</t>
  </si>
  <si>
    <t>Other Uses of Soda Ash</t>
  </si>
  <si>
    <t>2A4c</t>
  </si>
  <si>
    <t>Non Metallurgical Magnesia Production</t>
  </si>
  <si>
    <t>2A4d</t>
  </si>
  <si>
    <t>Other</t>
  </si>
  <si>
    <t>2A5</t>
  </si>
  <si>
    <t>2B</t>
  </si>
  <si>
    <t>Chemical Industry</t>
  </si>
  <si>
    <t>2B1</t>
  </si>
  <si>
    <t>Ammonia Production</t>
  </si>
  <si>
    <t>2B2</t>
  </si>
  <si>
    <t>Nitric Acid Production</t>
  </si>
  <si>
    <t>2B3</t>
  </si>
  <si>
    <t>Adipic Acid Production</t>
  </si>
  <si>
    <t>Not reported production data in public domain</t>
  </si>
  <si>
    <t>2B4</t>
  </si>
  <si>
    <t>Caprolactam, Glyoxal and Glyoxylic Acid Production</t>
  </si>
  <si>
    <t>2B5</t>
  </si>
  <si>
    <t>Carbide Production</t>
  </si>
  <si>
    <t>2B6</t>
  </si>
  <si>
    <t>Titanium Dioxide Production</t>
  </si>
  <si>
    <t>2B7</t>
  </si>
  <si>
    <t>Soda Ash Production</t>
  </si>
  <si>
    <t>2B8</t>
  </si>
  <si>
    <t>Petrochemical and Carbon Black Production</t>
  </si>
  <si>
    <t>2B8a</t>
  </si>
  <si>
    <t>Methanol</t>
  </si>
  <si>
    <t>2B8b</t>
  </si>
  <si>
    <t>Ethylene</t>
  </si>
  <si>
    <t>2B8c</t>
  </si>
  <si>
    <t>Ethylene Dichloride and Vinyl Chloride Monomer</t>
  </si>
  <si>
    <t>2B8d</t>
  </si>
  <si>
    <t>Ethylene Oxide</t>
  </si>
  <si>
    <t>2B8e</t>
  </si>
  <si>
    <t>Acrylonitrile</t>
  </si>
  <si>
    <t>2B8f</t>
  </si>
  <si>
    <t>Carbon Black</t>
  </si>
  <si>
    <t>2B9</t>
  </si>
  <si>
    <t>Fluorochemical Production</t>
  </si>
  <si>
    <t>2B9a</t>
  </si>
  <si>
    <t xml:space="preserve">By-product Emissions </t>
  </si>
  <si>
    <t>2B9b</t>
  </si>
  <si>
    <t>Fugitive Emissions</t>
  </si>
  <si>
    <t>2B10</t>
  </si>
  <si>
    <t>2C</t>
  </si>
  <si>
    <t>Metal Industry</t>
  </si>
  <si>
    <t>2C1</t>
  </si>
  <si>
    <t>Iron and Steel Production</t>
  </si>
  <si>
    <t>2C2</t>
  </si>
  <si>
    <t>Ferroalloys Production</t>
  </si>
  <si>
    <t>2C3</t>
  </si>
  <si>
    <t>Aluminium Production</t>
  </si>
  <si>
    <t>2C4</t>
  </si>
  <si>
    <t xml:space="preserve">Magnesium Production </t>
  </si>
  <si>
    <t>2C5</t>
  </si>
  <si>
    <t>Lead Production</t>
  </si>
  <si>
    <t>2C6</t>
  </si>
  <si>
    <t>Zinc Production</t>
  </si>
  <si>
    <t>2C7</t>
  </si>
  <si>
    <t>2D</t>
  </si>
  <si>
    <t>Non-Energy Products from Fuels and Solvent Use</t>
  </si>
  <si>
    <t>2D1</t>
  </si>
  <si>
    <t>Lubricant Use</t>
  </si>
  <si>
    <t>2D2</t>
  </si>
  <si>
    <t>Paraffin Wax Use</t>
  </si>
  <si>
    <t>2D3</t>
  </si>
  <si>
    <t xml:space="preserve">Solvent Use </t>
  </si>
  <si>
    <t>2D4</t>
  </si>
  <si>
    <t xml:space="preserve">Other </t>
  </si>
  <si>
    <t>2E</t>
  </si>
  <si>
    <t>Electronics Industry</t>
  </si>
  <si>
    <t>2E1:</t>
  </si>
  <si>
    <t>Integrated Circuit or Semiconductor</t>
  </si>
  <si>
    <t>2E2:</t>
  </si>
  <si>
    <t>TFT Flat Panel Display</t>
  </si>
  <si>
    <t>2E3:</t>
  </si>
  <si>
    <t>Photovoltaics</t>
  </si>
  <si>
    <t>2E4:</t>
  </si>
  <si>
    <t>Heat Transfer Fluid</t>
  </si>
  <si>
    <t>2E5:</t>
  </si>
  <si>
    <t>2F</t>
  </si>
  <si>
    <t>Product Uses as Substitutes for Ozone Depleting Substances</t>
  </si>
  <si>
    <t>2F1</t>
  </si>
  <si>
    <t>Refrigeration and Air Conditioning</t>
  </si>
  <si>
    <t>2F1a</t>
  </si>
  <si>
    <t>Refrigeration and Statiory Air Conditioning</t>
  </si>
  <si>
    <t>2F1b</t>
  </si>
  <si>
    <t xml:space="preserve"> Mobile Air Conditioning</t>
  </si>
  <si>
    <t>2F2</t>
  </si>
  <si>
    <t>Foam Blowing Agents</t>
  </si>
  <si>
    <t>2F3</t>
  </si>
  <si>
    <t>Fire Protection</t>
  </si>
  <si>
    <t>2F4</t>
  </si>
  <si>
    <t>Aerosols</t>
  </si>
  <si>
    <t>2F5</t>
  </si>
  <si>
    <t>Solvents</t>
  </si>
  <si>
    <t>2F6</t>
  </si>
  <si>
    <t>Other Applications</t>
  </si>
  <si>
    <t>2G</t>
  </si>
  <si>
    <t>Other Product Manufacture and Use</t>
  </si>
  <si>
    <t>2G1</t>
  </si>
  <si>
    <t>Electrical Equipment</t>
  </si>
  <si>
    <t>2G1a</t>
  </si>
  <si>
    <t>Manufacture of Electrical Equipment</t>
  </si>
  <si>
    <t>2G1b</t>
  </si>
  <si>
    <t>Use of Electrical Equipment</t>
  </si>
  <si>
    <t>2G1c</t>
  </si>
  <si>
    <t>Disposal of Electrical Equipment</t>
  </si>
  <si>
    <t>2G2</t>
  </si>
  <si>
    <t>SF6 and PFCs from Other Product Uses</t>
  </si>
  <si>
    <t>2G2a</t>
  </si>
  <si>
    <t>Military Applications</t>
  </si>
  <si>
    <t>2G2b</t>
  </si>
  <si>
    <t>Accelerators</t>
  </si>
  <si>
    <t>2G2c</t>
  </si>
  <si>
    <t>2G3</t>
  </si>
  <si>
    <t>N2O from Product Uses</t>
  </si>
  <si>
    <t>2G3a</t>
  </si>
  <si>
    <t>Medical Applications</t>
  </si>
  <si>
    <t>2G3b</t>
  </si>
  <si>
    <t>Propellant for pressure and aerosol products</t>
  </si>
  <si>
    <t>2G3c</t>
  </si>
  <si>
    <t>2G4</t>
  </si>
  <si>
    <t>2H</t>
  </si>
  <si>
    <t xml:space="preserve">2H1 </t>
  </si>
  <si>
    <t xml:space="preserve">Pulp and Paper Industry </t>
  </si>
  <si>
    <t xml:space="preserve">2H2 </t>
  </si>
  <si>
    <t>Food and Beverages Industry</t>
  </si>
  <si>
    <t xml:space="preserve">2H3 </t>
  </si>
  <si>
    <t>TOTAL IPPU + Energy (for Mfg); excluding electricity</t>
  </si>
  <si>
    <t>Table 6: GHG emissions (energy use) at IPCC classification system</t>
  </si>
  <si>
    <t>Grand Total</t>
  </si>
  <si>
    <t>2013-15</t>
  </si>
  <si>
    <t>2013-16</t>
  </si>
  <si>
    <t>2014-15</t>
  </si>
  <si>
    <t>2015-16</t>
  </si>
  <si>
    <t>Table 7: GHG emissions (IPPU) at IPCC classification system</t>
  </si>
  <si>
    <t>IPCC Codes</t>
  </si>
  <si>
    <t>Total</t>
  </si>
  <si>
    <t>GHG Emissions (CO2eq-AR2,T)</t>
  </si>
  <si>
    <t>Table 8: Activity data sources</t>
  </si>
  <si>
    <t>Data Sources Used for Emission Estimation</t>
  </si>
  <si>
    <t>Beyond current scope</t>
  </si>
  <si>
    <t>ASI Data</t>
  </si>
  <si>
    <t>Specfic fuel consumption CIL annual reports, MoPNG</t>
  </si>
  <si>
    <t>1A2: Manufacturing Industries and Construction^^</t>
  </si>
  <si>
    <t>Cement Manufacturing Asssociation</t>
  </si>
  <si>
    <t>IBM Data 2009</t>
  </si>
  <si>
    <t xml:space="preserve">IBM Data 2010 </t>
  </si>
  <si>
    <t>IBM Data 2011</t>
  </si>
  <si>
    <t>IBM Data 2012</t>
  </si>
  <si>
    <t>USGS</t>
  </si>
  <si>
    <t>Aluminium MCX India</t>
  </si>
  <si>
    <t>IBM mineral yearbook 2012</t>
  </si>
  <si>
    <t>IBM mineral yearbook 2013</t>
  </si>
  <si>
    <t>IBM mineral yearbook 2014</t>
  </si>
  <si>
    <t>NE</t>
  </si>
  <si>
    <t>IBM Data</t>
  </si>
  <si>
    <t>Chemicals and Fertilisers</t>
  </si>
  <si>
    <t>Non-metallic Minerals</t>
  </si>
  <si>
    <t>IBM Data 2016</t>
  </si>
  <si>
    <t>IBM Data 2017</t>
  </si>
  <si>
    <t>IBM Mineral Yearbook 2016</t>
  </si>
  <si>
    <t>IBM Mineral Yearbook 2017</t>
  </si>
  <si>
    <t>IBM mineral yearbook 2015</t>
  </si>
  <si>
    <t>IBM Data 2014</t>
  </si>
  <si>
    <t>GHG Emissions</t>
  </si>
  <si>
    <t>Consolidated Comparison</t>
  </si>
  <si>
    <t>Sl no</t>
  </si>
  <si>
    <t>Sector Descriptions</t>
  </si>
  <si>
    <t>Iron &amp; Steel</t>
  </si>
  <si>
    <t>Chemicals</t>
  </si>
  <si>
    <t>Ferro Alloys</t>
  </si>
  <si>
    <t>Non-metallic minerals</t>
  </si>
  <si>
    <t>Non-Energy products from fuels</t>
  </si>
  <si>
    <t>Refining + manufacture of solid fuels, Other energy Industry</t>
  </si>
  <si>
    <t>Mining</t>
  </si>
  <si>
    <t>Food &amp; Beverages</t>
  </si>
  <si>
    <t>Pulp, paper and Print</t>
  </si>
  <si>
    <t>Wood &amp; wood products</t>
  </si>
  <si>
    <t>Manufacturing n.e.c (jewellery, sports and musical instruments)</t>
  </si>
  <si>
    <t>Total Emissions</t>
  </si>
  <si>
    <t>INCAA 2007 (million tonnes)</t>
  </si>
  <si>
    <t>% difference</t>
  </si>
  <si>
    <t>BUR 2010 (million tonnes)</t>
  </si>
  <si>
    <t>CO2eq</t>
  </si>
  <si>
    <t xml:space="preserve">Refining </t>
  </si>
  <si>
    <t>Manufacturing of solid fuels</t>
  </si>
  <si>
    <t>Other Energy industry @</t>
  </si>
  <si>
    <t>N.R</t>
  </si>
  <si>
    <t>Mining^, #</t>
  </si>
  <si>
    <t>#</t>
  </si>
  <si>
    <t>Construction #</t>
  </si>
  <si>
    <t>Non specific industries</t>
  </si>
  <si>
    <t>N/A</t>
  </si>
  <si>
    <t>Grand Total (Energy + IPPU)</t>
  </si>
  <si>
    <t>difference level</t>
  </si>
  <si>
    <t>Combined reporting by Iron &amp; Steel, Ferroalloys, &amp; solid fuels</t>
  </si>
  <si>
    <t>@</t>
  </si>
  <si>
    <t>The sector includes emissions due to fuel mining and oil &amp; gas extraction</t>
  </si>
  <si>
    <t>The ASI dataset is not available in its entirety</t>
  </si>
  <si>
    <t>^</t>
  </si>
  <si>
    <t>ASI dataset represents non-fuel mining at large.</t>
  </si>
  <si>
    <t>*</t>
  </si>
  <si>
    <t>Manufacturing n.e.c includes Industries:</t>
  </si>
  <si>
    <t>1. Rubber</t>
  </si>
  <si>
    <t>2. Plastic</t>
  </si>
  <si>
    <t>3. Medical instruments and appliances</t>
  </si>
  <si>
    <t>4. Optical instruments and appliances</t>
  </si>
  <si>
    <t>5. Watches and clocks manufacturing</t>
  </si>
  <si>
    <t>6. Furniture</t>
  </si>
  <si>
    <t>7. Sports goods , musical instruments etc.</t>
  </si>
  <si>
    <t>Not reported</t>
  </si>
  <si>
    <t>Not applicable. CEEW does not have any non-specified industry classification (all industries are accounted as per national industries classification system)</t>
  </si>
  <si>
    <t>BUR 2014 (million tonnes)</t>
  </si>
  <si>
    <t>Other (Pulp and paper)</t>
  </si>
  <si>
    <t>Captive Emissions</t>
  </si>
  <si>
    <t>-</t>
  </si>
  <si>
    <t>Refining</t>
  </si>
  <si>
    <t>Manufacture of solid fuels</t>
  </si>
  <si>
    <t>Other energy industries</t>
  </si>
  <si>
    <t>Table 2.1: Industry-wise Captive Emissions from 2005 to 2015</t>
  </si>
  <si>
    <t>Table 2: Consolidated comparison of emissions of CEEW estimates from 2005 to 2015</t>
  </si>
  <si>
    <t>Table 5: Trendline for CEEW estimates on GHG emissions</t>
  </si>
  <si>
    <t>Year</t>
  </si>
  <si>
    <t>The CEEW estimates for 2007 and 2010 exclude captive emissions in all the industry sectors for comparison with INCAA 2007 and BUR 2010 estimates</t>
  </si>
  <si>
    <t>$</t>
  </si>
  <si>
    <t>The CEEW estimate for 2014 includes captive emissions only in Iron and Steel Sector and excludes captive emissions in all other sectors for comparison with BUR 2014 estimates</t>
  </si>
  <si>
    <t xml:space="preserve">The GHG Platform India is a collective Indian civil-society initiative providing an independent sector and economy wide estimation and analysis of India’s greenhouse gas (GHG) emissions from 2005 to 2015.  The platform comprises of eminent organisations namely, Council on Energy, Environment and Water, Center for Study of Science, Technology and Policy (CSTEP), ICLEI South Asia, Shakti Sustainable Energy Foundation, Vasudha Foundation and WRI-India.  </t>
  </si>
  <si>
    <t>2005 to 2015</t>
  </si>
  <si>
    <r>
      <t>Consolidated reporting on Green-house gases emission estimates due to</t>
    </r>
    <r>
      <rPr>
        <b/>
        <sz val="11"/>
        <color theme="1"/>
        <rFont val="Calibri"/>
        <family val="2"/>
        <scheme val="minor"/>
      </rPr>
      <t xml:space="preserve"> Energy Use as well as IPPU.</t>
    </r>
  </si>
  <si>
    <t>CEEW 2007 (million tonnes)*</t>
  </si>
  <si>
    <t>CEEW 2010 (million tonnes)*</t>
  </si>
  <si>
    <t>CEEW 2014 (million tonnes)*</t>
  </si>
  <si>
    <t>Manufacturing n.e.c, $</t>
  </si>
  <si>
    <t>Table 4: Sub-sector level variation between CEEW and national estimates (INCAA 2007, BUR 2010 and BUR 2014)</t>
  </si>
  <si>
    <t>2007*</t>
  </si>
  <si>
    <t>2010*</t>
  </si>
  <si>
    <t>CEEW Estimates</t>
  </si>
  <si>
    <t>INCCA Estimates</t>
  </si>
  <si>
    <t>BUR 1 *</t>
  </si>
  <si>
    <t>BUR 2 ^</t>
  </si>
  <si>
    <t>Values are in million tonnes CO2e AR2</t>
  </si>
  <si>
    <t>2014^</t>
  </si>
  <si>
    <t>Includes captive emissions for all industry sectors</t>
  </si>
  <si>
    <t>Chemicals and Petrochemicals statistics (Ministry of chemicals and fertilizers)</t>
  </si>
  <si>
    <t>Central Coalfields Limited - Annual Reports</t>
  </si>
  <si>
    <t>tirtha.biswas@ceew.in; info@ghgplatform-india.org</t>
  </si>
  <si>
    <r>
      <t>1.0 Posted on &lt;</t>
    </r>
    <r>
      <rPr>
        <sz val="11"/>
        <color rgb="FFFF0000"/>
        <rFont val="Calibri"/>
        <family val="2"/>
        <scheme val="minor"/>
      </rPr>
      <t>19th September 2019</t>
    </r>
    <r>
      <rPr>
        <sz val="11"/>
        <color theme="1"/>
        <rFont val="Calibri"/>
        <family val="2"/>
        <scheme val="minor"/>
      </rPr>
      <t>&gt;</t>
    </r>
  </si>
  <si>
    <t xml:space="preserve">Gupta, V., Biswas, T., Janakiraman, D., Ganesan, K., (2019). Greenhouse Gases Emissions of India (subnational estimates): Manufacturing Sector (2005-2015 series) dated September 19, 2019, Retrieved from: http://ghgplatform-india.org/data-and-emissions/industry.html
In instances where this sheet is used along with any other sector sheet on this website, the suggested citation is “GHG platform India 2005-2015 National Estimates - 2019 Series”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</si>
</sst>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_ ;[Red]\-0\ "/>
    <numFmt numFmtId="166" formatCode="0.00_ ;[Red]\-0.00\ "/>
    <numFmt numFmtId="167" formatCode="0.0%"/>
  </numFmts>
  <fonts count="35" x14ac:knownFonts="1">
    <font>
      <sz val="11"/>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font>
    <font>
      <b/>
      <sz val="9"/>
      <color indexed="81"/>
      <name val="Tahoma"/>
      <family val="2"/>
    </font>
    <font>
      <sz val="9"/>
      <color indexed="81"/>
      <name val="Tahoma"/>
      <family val="2"/>
    </font>
    <font>
      <sz val="11"/>
      <color rgb="FFFF0000"/>
      <name val="Calibri"/>
      <family val="2"/>
      <scheme val="minor"/>
    </font>
    <font>
      <b/>
      <sz val="11"/>
      <color theme="1"/>
      <name val="Calibri"/>
      <family val="2"/>
      <scheme val="minor"/>
    </font>
    <font>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sz val="11"/>
      <name val="Calibri"/>
      <family val="2"/>
      <scheme val="minor"/>
    </font>
    <font>
      <b/>
      <i/>
      <sz val="12"/>
      <color theme="1"/>
      <name val="Calibri"/>
      <family val="2"/>
      <scheme val="minor"/>
    </font>
    <font>
      <b/>
      <sz val="11"/>
      <color rgb="FFFF0000"/>
      <name val="Calibri"/>
      <family val="2"/>
      <scheme val="minor"/>
    </font>
    <font>
      <b/>
      <sz val="11"/>
      <color rgb="FF0070C0"/>
      <name val="Calibri"/>
      <family val="2"/>
      <scheme val="minor"/>
    </font>
    <font>
      <i/>
      <sz val="10"/>
      <color theme="1"/>
      <name val="Calibri"/>
      <family val="2"/>
      <scheme val="minor"/>
    </font>
    <font>
      <sz val="11"/>
      <color theme="1"/>
      <name val="Calibri"/>
      <family val="2"/>
    </font>
    <font>
      <b/>
      <sz val="11"/>
      <color theme="1"/>
      <name val="Calibri"/>
      <family val="2"/>
    </font>
    <font>
      <b/>
      <i/>
      <sz val="11"/>
      <color theme="1"/>
      <name val="Calibri"/>
      <family val="2"/>
    </font>
    <font>
      <b/>
      <sz val="11"/>
      <name val="Calibri"/>
      <family val="2"/>
    </font>
    <font>
      <sz val="11"/>
      <name val="Calibri"/>
      <family val="2"/>
    </font>
    <font>
      <b/>
      <sz val="11"/>
      <color rgb="FFFF0000"/>
      <name val="Calibri"/>
      <family val="2"/>
    </font>
    <font>
      <sz val="11"/>
      <color rgb="FFFF0000"/>
      <name val="Calibri"/>
      <family val="2"/>
    </font>
    <font>
      <u/>
      <sz val="11"/>
      <color theme="10"/>
      <name val="Calibri"/>
      <family val="2"/>
    </font>
    <font>
      <u/>
      <sz val="12"/>
      <color theme="10"/>
      <name val="Calibri"/>
      <family val="2"/>
    </font>
    <font>
      <sz val="10"/>
      <color theme="1"/>
      <name val="Calibri"/>
      <family val="2"/>
      <scheme val="minor"/>
    </font>
    <font>
      <b/>
      <i/>
      <sz val="10"/>
      <color rgb="FFFF0000"/>
      <name val="Calibri"/>
      <family val="2"/>
      <scheme val="minor"/>
    </font>
    <font>
      <sz val="9"/>
      <color indexed="81"/>
      <name val="Tahoma"/>
      <charset val="1"/>
    </font>
    <font>
      <b/>
      <sz val="9"/>
      <color indexed="81"/>
      <name val="Tahoma"/>
      <charset val="1"/>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theme="4" tint="0.79998168889431442"/>
      </patternFill>
    </fill>
    <fill>
      <patternFill patternType="solid">
        <fgColor theme="0"/>
        <bgColor theme="4" tint="0.79998168889431442"/>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bgColor indexed="64"/>
      </patternFill>
    </fill>
    <fill>
      <patternFill patternType="solid">
        <fgColor theme="7" tint="0.39997558519241921"/>
        <bgColor indexed="64"/>
      </patternFill>
    </fill>
  </fills>
  <borders count="3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1"/>
      </left>
      <right style="thin">
        <color auto="1"/>
      </right>
      <top style="medium">
        <color theme="1"/>
      </top>
      <bottom style="thin">
        <color theme="0"/>
      </bottom>
      <diagonal/>
    </border>
    <border>
      <left/>
      <right style="medium">
        <color theme="1"/>
      </right>
      <top style="medium">
        <color theme="1"/>
      </top>
      <bottom style="thin">
        <color auto="1"/>
      </bottom>
      <diagonal/>
    </border>
    <border>
      <left style="medium">
        <color auto="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theme="1"/>
      </left>
      <right style="thin">
        <color auto="1"/>
      </right>
      <top/>
      <bottom style="thin">
        <color auto="1"/>
      </bottom>
      <diagonal/>
    </border>
    <border>
      <left/>
      <right style="medium">
        <color theme="1"/>
      </right>
      <top style="thin">
        <color auto="1"/>
      </top>
      <bottom style="thin">
        <color auto="1"/>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right style="medium">
        <color theme="1"/>
      </right>
      <top style="thin">
        <color auto="1"/>
      </top>
      <bottom/>
      <diagonal/>
    </border>
    <border>
      <left style="medium">
        <color theme="1"/>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auto="1"/>
      </left>
      <right style="medium">
        <color auto="1"/>
      </right>
      <top/>
      <bottom style="thin">
        <color auto="1"/>
      </bottom>
      <diagonal/>
    </border>
    <border>
      <left style="medium">
        <color theme="1"/>
      </left>
      <right style="thin">
        <color auto="1"/>
      </right>
      <top/>
      <bottom style="medium">
        <color theme="1"/>
      </bottom>
      <diagonal/>
    </border>
    <border>
      <left style="thin">
        <color auto="1"/>
      </left>
      <right style="medium">
        <color theme="1"/>
      </right>
      <top style="thin">
        <color auto="1"/>
      </top>
      <bottom style="medium">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dotted">
        <color auto="1"/>
      </left>
      <right style="dotted">
        <color auto="1"/>
      </right>
      <top style="dotted">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44">
    <xf numFmtId="0" fontId="0" fillId="0" borderId="0" xfId="0"/>
    <xf numFmtId="0" fontId="0" fillId="2" borderId="0" xfId="0" applyFill="1"/>
    <xf numFmtId="0" fontId="4" fillId="2" borderId="0" xfId="0" applyFont="1" applyFill="1"/>
    <xf numFmtId="0" fontId="4" fillId="2" borderId="0" xfId="0" applyFont="1" applyFill="1" applyAlignment="1">
      <alignment wrapText="1"/>
    </xf>
    <xf numFmtId="0" fontId="4" fillId="0" borderId="0" xfId="0" applyFont="1"/>
    <xf numFmtId="0" fontId="4" fillId="0" borderId="0" xfId="0" applyFont="1" applyAlignment="1">
      <alignment vertical="center"/>
    </xf>
    <xf numFmtId="0" fontId="4" fillId="2" borderId="0" xfId="0" applyFont="1" applyFill="1" applyAlignment="1">
      <alignment vertical="center"/>
    </xf>
    <xf numFmtId="0" fontId="6" fillId="2" borderId="0" xfId="0" applyFont="1" applyFill="1"/>
    <xf numFmtId="0" fontId="6" fillId="0" borderId="0" xfId="0" applyFont="1"/>
    <xf numFmtId="0" fontId="5" fillId="2" borderId="0" xfId="0" applyFont="1" applyFill="1"/>
    <xf numFmtId="0" fontId="5" fillId="0" borderId="0" xfId="0" applyFont="1"/>
    <xf numFmtId="0" fontId="7" fillId="2" borderId="0" xfId="0" applyFont="1" applyFill="1"/>
    <xf numFmtId="1" fontId="4" fillId="2" borderId="0" xfId="0" applyNumberFormat="1" applyFont="1" applyFill="1"/>
    <xf numFmtId="4" fontId="4" fillId="2" borderId="0" xfId="0" applyNumberFormat="1" applyFont="1" applyFill="1"/>
    <xf numFmtId="9" fontId="4" fillId="2" borderId="0" xfId="2" applyFont="1" applyFill="1"/>
    <xf numFmtId="0" fontId="4" fillId="0" borderId="0" xfId="0" applyFont="1" applyAlignment="1">
      <alignment wrapText="1"/>
    </xf>
    <xf numFmtId="0" fontId="12" fillId="0" borderId="1" xfId="0" applyFont="1" applyBorder="1"/>
    <xf numFmtId="0" fontId="12" fillId="2" borderId="0" xfId="0" applyFont="1" applyFill="1" applyAlignment="1">
      <alignment horizontal="left"/>
    </xf>
    <xf numFmtId="0" fontId="12" fillId="2" borderId="1" xfId="0" applyFont="1" applyFill="1" applyBorder="1"/>
    <xf numFmtId="0" fontId="12" fillId="2" borderId="0" xfId="0" applyFont="1" applyFill="1"/>
    <xf numFmtId="0" fontId="12" fillId="0" borderId="2" xfId="0" applyFont="1" applyBorder="1"/>
    <xf numFmtId="0" fontId="12" fillId="0" borderId="3" xfId="0" applyFont="1" applyBorder="1"/>
    <xf numFmtId="0" fontId="12" fillId="0" borderId="4" xfId="0" applyFont="1" applyBorder="1"/>
    <xf numFmtId="0" fontId="12" fillId="2" borderId="16" xfId="0" applyFont="1" applyFill="1" applyBorder="1"/>
    <xf numFmtId="0" fontId="13" fillId="4" borderId="20" xfId="0" applyFont="1" applyFill="1" applyBorder="1"/>
    <xf numFmtId="0" fontId="14" fillId="2" borderId="20" xfId="0" applyFont="1" applyFill="1" applyBorder="1"/>
    <xf numFmtId="0" fontId="14" fillId="2" borderId="20" xfId="0" applyFont="1" applyFill="1" applyBorder="1" applyAlignment="1">
      <alignment wrapText="1"/>
    </xf>
    <xf numFmtId="0" fontId="14" fillId="5" borderId="20" xfId="0" applyFont="1" applyFill="1" applyBorder="1"/>
    <xf numFmtId="0" fontId="0" fillId="2" borderId="0" xfId="0" applyFill="1" applyAlignment="1">
      <alignment wrapText="1"/>
    </xf>
    <xf numFmtId="0" fontId="0" fillId="6" borderId="0" xfId="0" applyFill="1"/>
    <xf numFmtId="0" fontId="0" fillId="6" borderId="0" xfId="0" applyFill="1" applyAlignment="1">
      <alignment wrapText="1"/>
    </xf>
    <xf numFmtId="0" fontId="0" fillId="0" borderId="0" xfId="0" applyAlignment="1">
      <alignment vertical="center"/>
    </xf>
    <xf numFmtId="0" fontId="0" fillId="6" borderId="20" xfId="0" applyFill="1" applyBorder="1" applyAlignment="1">
      <alignment vertical="center"/>
    </xf>
    <xf numFmtId="0" fontId="11" fillId="6" borderId="21" xfId="0" applyFont="1" applyFill="1" applyBorder="1" applyAlignment="1">
      <alignment vertical="center" wrapText="1"/>
    </xf>
    <xf numFmtId="0" fontId="13" fillId="6" borderId="20" xfId="0" applyFont="1" applyFill="1" applyBorder="1" applyAlignment="1">
      <alignment horizontal="center" vertical="center" wrapText="1"/>
    </xf>
    <xf numFmtId="0" fontId="13" fillId="6" borderId="20" xfId="0" applyFont="1" applyFill="1" applyBorder="1" applyAlignment="1">
      <alignment vertical="center"/>
    </xf>
    <xf numFmtId="0" fontId="0" fillId="2" borderId="20" xfId="0" applyFill="1" applyBorder="1"/>
    <xf numFmtId="0" fontId="13" fillId="6" borderId="20" xfId="0" applyFont="1" applyFill="1" applyBorder="1"/>
    <xf numFmtId="0" fontId="13" fillId="6" borderId="20" xfId="0" applyFont="1" applyFill="1" applyBorder="1" applyAlignment="1">
      <alignment wrapText="1"/>
    </xf>
    <xf numFmtId="0" fontId="11" fillId="5" borderId="20" xfId="0" applyFont="1" applyFill="1" applyBorder="1" applyAlignment="1">
      <alignment horizontal="center" vertical="center" wrapText="1"/>
    </xf>
    <xf numFmtId="0" fontId="11" fillId="5" borderId="20" xfId="0" applyFont="1" applyFill="1" applyBorder="1" applyAlignment="1">
      <alignment wrapText="1"/>
    </xf>
    <xf numFmtId="165" fontId="11" fillId="5" borderId="20" xfId="0" applyNumberFormat="1" applyFont="1" applyFill="1" applyBorder="1" applyAlignment="1">
      <alignment horizontal="right"/>
    </xf>
    <xf numFmtId="165" fontId="11" fillId="5" borderId="20" xfId="0" applyNumberFormat="1" applyFont="1" applyFill="1" applyBorder="1"/>
    <xf numFmtId="0" fontId="0" fillId="0" borderId="20" xfId="0" applyBorder="1" applyAlignment="1">
      <alignment horizontal="left" vertical="center" wrapText="1"/>
    </xf>
    <xf numFmtId="0" fontId="0" fillId="0" borderId="20" xfId="0" applyBorder="1" applyAlignment="1">
      <alignment wrapText="1"/>
    </xf>
    <xf numFmtId="165" fontId="0" fillId="2" borderId="20" xfId="0" applyNumberFormat="1" applyFill="1" applyBorder="1" applyAlignment="1">
      <alignment horizontal="right"/>
    </xf>
    <xf numFmtId="165" fontId="0" fillId="7" borderId="20" xfId="0" applyNumberFormat="1" applyFill="1" applyBorder="1"/>
    <xf numFmtId="0" fontId="0" fillId="0" borderId="20" xfId="0" applyBorder="1" applyAlignment="1">
      <alignment horizontal="right" vertical="center" wrapText="1"/>
    </xf>
    <xf numFmtId="0" fontId="16" fillId="5" borderId="20" xfId="0" applyFont="1" applyFill="1" applyBorder="1" applyAlignment="1">
      <alignment wrapText="1"/>
    </xf>
    <xf numFmtId="0" fontId="17" fillId="0" borderId="20" xfId="0" applyFont="1" applyBorder="1" applyAlignment="1">
      <alignment horizontal="left" vertical="center" wrapText="1"/>
    </xf>
    <xf numFmtId="0" fontId="17" fillId="0" borderId="20" xfId="0" applyFont="1" applyBorder="1" applyAlignment="1">
      <alignment wrapText="1"/>
    </xf>
    <xf numFmtId="0" fontId="0" fillId="0" borderId="20" xfId="0" applyBorder="1"/>
    <xf numFmtId="0" fontId="17" fillId="0" borderId="20" xfId="0" applyFont="1" applyBorder="1"/>
    <xf numFmtId="0" fontId="0" fillId="9" borderId="20" xfId="0" applyFill="1" applyBorder="1" applyAlignment="1">
      <alignment horizontal="left" vertical="center" wrapText="1"/>
    </xf>
    <xf numFmtId="0" fontId="0" fillId="9" borderId="20" xfId="0" applyFill="1" applyBorder="1"/>
    <xf numFmtId="0" fontId="11" fillId="5" borderId="20" xfId="0" applyFont="1" applyFill="1" applyBorder="1" applyAlignment="1">
      <alignment horizontal="center" vertical="top" wrapText="1"/>
    </xf>
    <xf numFmtId="0" fontId="0" fillId="0" borderId="20" xfId="0" applyBorder="1" applyAlignment="1">
      <alignment horizontal="left" vertical="top" wrapText="1"/>
    </xf>
    <xf numFmtId="166" fontId="0" fillId="0" borderId="20" xfId="0" applyNumberFormat="1" applyBorder="1"/>
    <xf numFmtId="0" fontId="11" fillId="10" borderId="20" xfId="0" applyFont="1" applyFill="1" applyBorder="1" applyAlignment="1">
      <alignment wrapText="1"/>
    </xf>
    <xf numFmtId="165" fontId="0" fillId="0" borderId="20" xfId="0" applyNumberFormat="1" applyBorder="1"/>
    <xf numFmtId="0" fontId="11" fillId="8" borderId="20" xfId="0" applyFont="1" applyFill="1" applyBorder="1" applyAlignment="1">
      <alignment wrapText="1"/>
    </xf>
    <xf numFmtId="165" fontId="11" fillId="11" borderId="20" xfId="0" applyNumberFormat="1" applyFont="1" applyFill="1" applyBorder="1" applyAlignment="1">
      <alignment wrapText="1"/>
    </xf>
    <xf numFmtId="165" fontId="0" fillId="5" borderId="20" xfId="0" applyNumberFormat="1" applyFill="1" applyBorder="1" applyAlignment="1">
      <alignment horizontal="right"/>
    </xf>
    <xf numFmtId="11" fontId="0" fillId="0" borderId="20" xfId="0" applyNumberFormat="1" applyBorder="1" applyAlignment="1">
      <alignment horizontal="left" vertical="top" wrapText="1"/>
    </xf>
    <xf numFmtId="165" fontId="11" fillId="5" borderId="28" xfId="0" applyNumberFormat="1" applyFont="1" applyFill="1" applyBorder="1" applyAlignment="1">
      <alignment wrapText="1"/>
    </xf>
    <xf numFmtId="165" fontId="0" fillId="5" borderId="28" xfId="0" applyNumberFormat="1" applyFill="1" applyBorder="1" applyAlignment="1">
      <alignment horizontal="right"/>
    </xf>
    <xf numFmtId="165" fontId="16" fillId="5" borderId="28" xfId="0" applyNumberFormat="1" applyFont="1" applyFill="1" applyBorder="1"/>
    <xf numFmtId="0" fontId="18" fillId="5" borderId="0" xfId="0" applyFont="1" applyFill="1"/>
    <xf numFmtId="0" fontId="0" fillId="5" borderId="0" xfId="0" applyFill="1"/>
    <xf numFmtId="0" fontId="0" fillId="5" borderId="0" xfId="0" applyFill="1" applyAlignment="1">
      <alignment wrapText="1"/>
    </xf>
    <xf numFmtId="0" fontId="13" fillId="5" borderId="0" xfId="0" applyFont="1" applyFill="1"/>
    <xf numFmtId="0" fontId="13" fillId="6" borderId="28" xfId="0" applyFont="1" applyFill="1" applyBorder="1" applyAlignment="1">
      <alignment horizontal="center" wrapText="1"/>
    </xf>
    <xf numFmtId="0" fontId="13" fillId="14" borderId="20" xfId="0" applyFont="1" applyFill="1" applyBorder="1"/>
    <xf numFmtId="43" fontId="0" fillId="2" borderId="20" xfId="1" applyFont="1" applyFill="1" applyBorder="1"/>
    <xf numFmtId="0" fontId="0" fillId="2" borderId="20" xfId="0" quotePrefix="1" applyFill="1" applyBorder="1"/>
    <xf numFmtId="1" fontId="13" fillId="15" borderId="20" xfId="0" applyNumberFormat="1" applyFont="1" applyFill="1" applyBorder="1"/>
    <xf numFmtId="0" fontId="0" fillId="2" borderId="20" xfId="0" applyFill="1" applyBorder="1" applyAlignment="1">
      <alignment horizontal="center"/>
    </xf>
    <xf numFmtId="0" fontId="13" fillId="16" borderId="28" xfId="0" applyFont="1" applyFill="1" applyBorder="1" applyAlignment="1">
      <alignment horizontal="center" wrapText="1"/>
    </xf>
    <xf numFmtId="0" fontId="0" fillId="16" borderId="0" xfId="0" applyFill="1"/>
    <xf numFmtId="0" fontId="13" fillId="4" borderId="20" xfId="0" applyFont="1" applyFill="1" applyBorder="1" applyAlignment="1">
      <alignment horizontal="center" vertical="center" wrapText="1"/>
    </xf>
    <xf numFmtId="0" fontId="15" fillId="4" borderId="20" xfId="0" applyFont="1" applyFill="1" applyBorder="1" applyAlignment="1">
      <alignment horizontal="left" wrapText="1"/>
    </xf>
    <xf numFmtId="0" fontId="15" fillId="4" borderId="20" xfId="0" applyFont="1" applyFill="1" applyBorder="1" applyAlignment="1">
      <alignment horizontal="right" wrapText="1"/>
    </xf>
    <xf numFmtId="0" fontId="0" fillId="2" borderId="20" xfId="0" applyFill="1" applyBorder="1" applyAlignment="1">
      <alignment horizontal="left" wrapText="1"/>
    </xf>
    <xf numFmtId="0" fontId="0" fillId="2" borderId="20" xfId="0" applyFill="1" applyBorder="1" applyAlignment="1">
      <alignment horizontal="left" vertical="center" wrapText="1"/>
    </xf>
    <xf numFmtId="1" fontId="0" fillId="2" borderId="20" xfId="0" applyNumberFormat="1" applyFill="1" applyBorder="1" applyAlignment="1">
      <alignment horizontal="right" vertical="center" wrapText="1"/>
    </xf>
    <xf numFmtId="9" fontId="19" fillId="2" borderId="20" xfId="2" applyFont="1" applyFill="1" applyBorder="1" applyAlignment="1">
      <alignment horizontal="right" vertical="center" wrapText="1"/>
    </xf>
    <xf numFmtId="9" fontId="19" fillId="2" borderId="20" xfId="2" applyFont="1" applyFill="1" applyBorder="1" applyAlignment="1">
      <alignment horizontal="right" vertical="center"/>
    </xf>
    <xf numFmtId="9" fontId="20" fillId="2" borderId="20" xfId="2" applyFont="1" applyFill="1" applyBorder="1" applyAlignment="1">
      <alignment horizontal="right" vertical="center" wrapText="1"/>
    </xf>
    <xf numFmtId="9" fontId="0" fillId="2" borderId="20" xfId="2" applyFont="1" applyFill="1" applyBorder="1" applyAlignment="1">
      <alignment horizontal="right" vertical="center"/>
    </xf>
    <xf numFmtId="9" fontId="0" fillId="2" borderId="20" xfId="2" applyFont="1" applyFill="1" applyBorder="1" applyAlignment="1">
      <alignment horizontal="right" vertical="center" wrapText="1"/>
    </xf>
    <xf numFmtId="1" fontId="10" fillId="2" borderId="20" xfId="0" applyNumberFormat="1" applyFont="1" applyFill="1" applyBorder="1" applyAlignment="1">
      <alignment horizontal="right" vertical="center" wrapText="1"/>
    </xf>
    <xf numFmtId="0" fontId="11" fillId="2" borderId="20" xfId="0" applyFont="1" applyFill="1" applyBorder="1" applyAlignment="1">
      <alignment horizontal="left" vertical="center" wrapText="1"/>
    </xf>
    <xf numFmtId="9" fontId="11" fillId="2" borderId="20" xfId="2" applyFont="1" applyFill="1" applyBorder="1" applyAlignment="1">
      <alignment horizontal="right" vertical="center"/>
    </xf>
    <xf numFmtId="0" fontId="19" fillId="2" borderId="20" xfId="0" applyFont="1" applyFill="1" applyBorder="1" applyAlignment="1">
      <alignment horizontal="left" vertical="center" wrapText="1"/>
    </xf>
    <xf numFmtId="0" fontId="11" fillId="4" borderId="20" xfId="0" applyFont="1" applyFill="1" applyBorder="1" applyAlignment="1">
      <alignment horizontal="left" wrapText="1"/>
    </xf>
    <xf numFmtId="0" fontId="13" fillId="4" borderId="20" xfId="0" applyFont="1" applyFill="1" applyBorder="1" applyAlignment="1">
      <alignment horizontal="left" wrapText="1"/>
    </xf>
    <xf numFmtId="1" fontId="13" fillId="4" borderId="20" xfId="0" applyNumberFormat="1" applyFont="1" applyFill="1" applyBorder="1" applyAlignment="1">
      <alignment horizontal="right" wrapText="1"/>
    </xf>
    <xf numFmtId="9" fontId="15" fillId="4" borderId="20" xfId="2" applyFont="1" applyFill="1" applyBorder="1" applyAlignment="1">
      <alignment horizontal="right" wrapText="1"/>
    </xf>
    <xf numFmtId="167" fontId="15" fillId="4" borderId="20" xfId="2" applyNumberFormat="1" applyFont="1" applyFill="1" applyBorder="1"/>
    <xf numFmtId="0" fontId="0" fillId="2" borderId="31" xfId="0" applyFill="1" applyBorder="1" applyAlignment="1">
      <alignment horizontal="left" wrapText="1"/>
    </xf>
    <xf numFmtId="0" fontId="19" fillId="2" borderId="31" xfId="0" applyFont="1" applyFill="1" applyBorder="1" applyAlignment="1">
      <alignment horizontal="left" wrapText="1"/>
    </xf>
    <xf numFmtId="1" fontId="0" fillId="2" borderId="31" xfId="0" applyNumberFormat="1" applyFill="1" applyBorder="1" applyAlignment="1">
      <alignment horizontal="right" wrapText="1"/>
    </xf>
    <xf numFmtId="9" fontId="19" fillId="2" borderId="31" xfId="2" applyFont="1" applyFill="1" applyBorder="1" applyAlignment="1">
      <alignment horizontal="right" wrapText="1"/>
    </xf>
    <xf numFmtId="1" fontId="19" fillId="2" borderId="31" xfId="0" applyNumberFormat="1" applyFont="1" applyFill="1" applyBorder="1" applyAlignment="1">
      <alignment horizontal="right" wrapText="1"/>
    </xf>
    <xf numFmtId="10" fontId="19" fillId="2" borderId="31" xfId="2" applyNumberFormat="1" applyFont="1" applyFill="1" applyBorder="1" applyAlignment="1">
      <alignment horizontal="right" wrapText="1"/>
    </xf>
    <xf numFmtId="0" fontId="0" fillId="2" borderId="31" xfId="0" applyFill="1" applyBorder="1"/>
    <xf numFmtId="0" fontId="19" fillId="2" borderId="0" xfId="0" applyFont="1" applyFill="1" applyAlignment="1">
      <alignment wrapText="1"/>
    </xf>
    <xf numFmtId="9" fontId="19" fillId="2" borderId="0" xfId="2" applyFont="1" applyFill="1" applyAlignment="1">
      <alignment wrapText="1"/>
    </xf>
    <xf numFmtId="0" fontId="13" fillId="2" borderId="0" xfId="0" applyFont="1" applyFill="1" applyAlignment="1">
      <alignment wrapText="1"/>
    </xf>
    <xf numFmtId="1" fontId="0" fillId="2" borderId="0" xfId="0" applyNumberFormat="1" applyFill="1" applyAlignment="1">
      <alignment wrapText="1"/>
    </xf>
    <xf numFmtId="9" fontId="19" fillId="2" borderId="20" xfId="2" applyFont="1" applyFill="1" applyBorder="1" applyAlignment="1">
      <alignment wrapText="1"/>
    </xf>
    <xf numFmtId="0" fontId="0" fillId="2" borderId="0" xfId="0" applyFill="1" applyAlignment="1">
      <alignment horizontal="left" vertical="center" wrapText="1"/>
    </xf>
    <xf numFmtId="0" fontId="14" fillId="2" borderId="0" xfId="0" applyFont="1" applyFill="1" applyAlignment="1">
      <alignment wrapText="1"/>
    </xf>
    <xf numFmtId="0" fontId="21" fillId="2" borderId="0" xfId="0" applyFont="1" applyFill="1" applyAlignment="1">
      <alignment wrapText="1"/>
    </xf>
    <xf numFmtId="0" fontId="21" fillId="2" borderId="0" xfId="0" applyFont="1" applyFill="1"/>
    <xf numFmtId="0" fontId="14" fillId="2" borderId="0" xfId="0" applyFont="1" applyFill="1"/>
    <xf numFmtId="1" fontId="0" fillId="2" borderId="20" xfId="0" applyNumberFormat="1" applyFill="1" applyBorder="1"/>
    <xf numFmtId="0" fontId="13" fillId="6" borderId="20" xfId="0" applyFont="1" applyFill="1" applyBorder="1" applyAlignment="1">
      <alignment horizontal="center" vertical="center"/>
    </xf>
    <xf numFmtId="0" fontId="13" fillId="12" borderId="20" xfId="0" applyFont="1" applyFill="1" applyBorder="1"/>
    <xf numFmtId="0" fontId="17" fillId="2" borderId="20" xfId="0" applyFont="1" applyFill="1" applyBorder="1" applyAlignment="1">
      <alignment horizontal="left"/>
    </xf>
    <xf numFmtId="1" fontId="17" fillId="2" borderId="20" xfId="0" applyNumberFormat="1" applyFont="1" applyFill="1" applyBorder="1" applyAlignment="1">
      <alignment horizontal="right"/>
    </xf>
    <xf numFmtId="1" fontId="17" fillId="2" borderId="20" xfId="1" applyNumberFormat="1" applyFont="1" applyFill="1" applyBorder="1" applyAlignment="1">
      <alignment horizontal="right"/>
    </xf>
    <xf numFmtId="0" fontId="11" fillId="13" borderId="20" xfId="0" applyFont="1" applyFill="1" applyBorder="1" applyAlignment="1">
      <alignment horizontal="left"/>
    </xf>
    <xf numFmtId="1" fontId="11" fillId="13" borderId="20" xfId="1" applyNumberFormat="1" applyFont="1" applyFill="1" applyBorder="1" applyAlignment="1">
      <alignment horizontal="right"/>
    </xf>
    <xf numFmtId="0" fontId="22" fillId="2" borderId="0" xfId="0" applyFont="1" applyFill="1"/>
    <xf numFmtId="0" fontId="23" fillId="2" borderId="0" xfId="0" applyFont="1" applyFill="1" applyAlignment="1">
      <alignment horizontal="left"/>
    </xf>
    <xf numFmtId="0" fontId="22" fillId="2" borderId="20" xfId="0" applyFont="1" applyFill="1" applyBorder="1"/>
    <xf numFmtId="0" fontId="24" fillId="6" borderId="20" xfId="0" applyFont="1" applyFill="1" applyBorder="1" applyAlignment="1">
      <alignment horizontal="center" vertical="center"/>
    </xf>
    <xf numFmtId="0" fontId="24" fillId="4" borderId="20" xfId="0" applyFont="1" applyFill="1" applyBorder="1" applyAlignment="1">
      <alignment horizontal="left"/>
    </xf>
    <xf numFmtId="0" fontId="25" fillId="2" borderId="20" xfId="0" applyFont="1" applyFill="1" applyBorder="1"/>
    <xf numFmtId="1" fontId="26" fillId="2" borderId="20" xfId="0" applyNumberFormat="1" applyFont="1" applyFill="1" applyBorder="1"/>
    <xf numFmtId="1" fontId="22" fillId="2" borderId="20" xfId="0" applyNumberFormat="1" applyFont="1" applyFill="1" applyBorder="1"/>
    <xf numFmtId="0" fontId="26" fillId="2" borderId="20" xfId="0" applyFont="1" applyFill="1" applyBorder="1"/>
    <xf numFmtId="0" fontId="27" fillId="2" borderId="20" xfId="0" applyFont="1" applyFill="1" applyBorder="1"/>
    <xf numFmtId="0" fontId="28" fillId="2" borderId="20" xfId="0" applyFont="1" applyFill="1" applyBorder="1"/>
    <xf numFmtId="1" fontId="28" fillId="2" borderId="20" xfId="0" applyNumberFormat="1" applyFont="1" applyFill="1" applyBorder="1"/>
    <xf numFmtId="1" fontId="23" fillId="2" borderId="20" xfId="0" applyNumberFormat="1" applyFont="1" applyFill="1" applyBorder="1"/>
    <xf numFmtId="0" fontId="24" fillId="6" borderId="20" xfId="0" applyFont="1" applyFill="1" applyBorder="1" applyAlignment="1">
      <alignment horizontal="center" vertical="center" wrapText="1"/>
    </xf>
    <xf numFmtId="0" fontId="24" fillId="6" borderId="20" xfId="0" applyFont="1" applyFill="1" applyBorder="1"/>
    <xf numFmtId="0" fontId="24" fillId="6" borderId="20" xfId="0" applyFont="1" applyFill="1" applyBorder="1" applyAlignment="1">
      <alignment wrapText="1"/>
    </xf>
    <xf numFmtId="0" fontId="23" fillId="6" borderId="20" xfId="0" applyFont="1" applyFill="1" applyBorder="1" applyAlignment="1">
      <alignment horizontal="center" vertical="center" wrapText="1"/>
    </xf>
    <xf numFmtId="0" fontId="23" fillId="6" borderId="20" xfId="0" applyFont="1" applyFill="1" applyBorder="1" applyAlignment="1">
      <alignment wrapText="1"/>
    </xf>
    <xf numFmtId="0" fontId="23" fillId="2" borderId="20" xfId="0" applyFont="1" applyFill="1" applyBorder="1" applyAlignment="1">
      <alignment horizontal="center" vertical="center" wrapText="1"/>
    </xf>
    <xf numFmtId="0" fontId="22" fillId="2" borderId="20" xfId="0" applyFont="1" applyFill="1" applyBorder="1" applyAlignment="1">
      <alignment wrapText="1"/>
    </xf>
    <xf numFmtId="0" fontId="25" fillId="6" borderId="20" xfId="0" applyFont="1" applyFill="1" applyBorder="1" applyAlignment="1">
      <alignment wrapText="1"/>
    </xf>
    <xf numFmtId="0" fontId="25" fillId="2" borderId="20" xfId="0" applyFont="1" applyFill="1" applyBorder="1" applyAlignment="1">
      <alignment horizontal="center" vertical="center" wrapText="1"/>
    </xf>
    <xf numFmtId="0" fontId="26" fillId="2" borderId="20" xfId="0" applyFont="1" applyFill="1" applyBorder="1" applyAlignment="1">
      <alignment wrapText="1"/>
    </xf>
    <xf numFmtId="0" fontId="23" fillId="6" borderId="20" xfId="0" applyFont="1" applyFill="1" applyBorder="1" applyAlignment="1">
      <alignment horizontal="center" vertical="top" wrapText="1"/>
    </xf>
    <xf numFmtId="0" fontId="22" fillId="2" borderId="20" xfId="0" applyFont="1" applyFill="1" applyBorder="1" applyAlignment="1">
      <alignment vertical="center"/>
    </xf>
    <xf numFmtId="0" fontId="29" fillId="2" borderId="28" xfId="3" applyFont="1" applyFill="1" applyBorder="1" applyAlignment="1">
      <alignment horizontal="center" vertical="center" wrapText="1"/>
    </xf>
    <xf numFmtId="0" fontId="29" fillId="2" borderId="30" xfId="3" applyFont="1" applyFill="1" applyBorder="1" applyAlignment="1">
      <alignment horizontal="center" vertical="center"/>
    </xf>
    <xf numFmtId="0" fontId="29" fillId="2" borderId="28" xfId="3" applyFont="1" applyFill="1" applyBorder="1" applyAlignment="1">
      <alignment horizontal="center" vertical="center"/>
    </xf>
    <xf numFmtId="0" fontId="23" fillId="2" borderId="20" xfId="0" applyFont="1" applyFill="1" applyBorder="1" applyAlignment="1">
      <alignment horizontal="center" vertical="top" wrapText="1"/>
    </xf>
    <xf numFmtId="0" fontId="23" fillId="2" borderId="20" xfId="0" applyFont="1" applyFill="1" applyBorder="1" applyAlignment="1">
      <alignment wrapText="1"/>
    </xf>
    <xf numFmtId="0" fontId="29" fillId="2" borderId="20" xfId="3" applyFont="1" applyFill="1" applyBorder="1" applyAlignment="1">
      <alignment vertical="center"/>
    </xf>
    <xf numFmtId="0" fontId="29" fillId="2" borderId="20" xfId="3" applyFont="1" applyFill="1" applyBorder="1"/>
    <xf numFmtId="0" fontId="30" fillId="2" borderId="20" xfId="4" applyFont="1" applyFill="1" applyBorder="1"/>
    <xf numFmtId="0" fontId="22" fillId="2" borderId="20" xfId="0" applyFont="1" applyFill="1" applyBorder="1" applyAlignment="1">
      <alignment vertical="center" wrapText="1"/>
    </xf>
    <xf numFmtId="11" fontId="23" fillId="2" borderId="20" xfId="0" applyNumberFormat="1" applyFont="1" applyFill="1" applyBorder="1" applyAlignment="1">
      <alignment horizontal="center" vertical="top" wrapText="1"/>
    </xf>
    <xf numFmtId="0" fontId="22" fillId="5" borderId="0" xfId="0" applyFont="1" applyFill="1"/>
    <xf numFmtId="0" fontId="24" fillId="5" borderId="0" xfId="0" applyFont="1" applyFill="1"/>
    <xf numFmtId="0" fontId="13" fillId="5" borderId="27" xfId="0" applyFont="1" applyFill="1" applyBorder="1"/>
    <xf numFmtId="0" fontId="31" fillId="2" borderId="0" xfId="0" applyFont="1" applyFill="1"/>
    <xf numFmtId="0" fontId="16" fillId="3" borderId="5" xfId="0" applyFont="1" applyFill="1" applyBorder="1" applyAlignment="1">
      <alignment horizontal="left" vertical="center"/>
    </xf>
    <xf numFmtId="0" fontId="11" fillId="0" borderId="6" xfId="0" applyFont="1" applyBorder="1" applyAlignment="1">
      <alignment vertical="center" wrapText="1"/>
    </xf>
    <xf numFmtId="0" fontId="16" fillId="3" borderId="7" xfId="0" applyFont="1" applyFill="1" applyBorder="1" applyAlignment="1">
      <alignment horizontal="left" vertical="center"/>
    </xf>
    <xf numFmtId="164" fontId="0" fillId="0" borderId="8" xfId="0" quotePrefix="1" applyNumberFormat="1" applyBorder="1" applyAlignment="1">
      <alignment horizontal="left" vertical="center" wrapText="1"/>
    </xf>
    <xf numFmtId="0" fontId="11" fillId="3" borderId="9" xfId="0" applyFont="1" applyFill="1" applyBorder="1" applyAlignment="1">
      <alignment horizontal="left" vertical="center"/>
    </xf>
    <xf numFmtId="0" fontId="0" fillId="0" borderId="10" xfId="0" applyBorder="1" applyAlignment="1">
      <alignment vertical="center"/>
    </xf>
    <xf numFmtId="0" fontId="11" fillId="3" borderId="11" xfId="0" applyFont="1" applyFill="1"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vertical="top" wrapText="1"/>
    </xf>
    <xf numFmtId="0" fontId="11" fillId="3" borderId="11" xfId="0" applyFont="1" applyFill="1" applyBorder="1" applyAlignment="1">
      <alignment horizontal="left" vertical="center"/>
    </xf>
    <xf numFmtId="0" fontId="17" fillId="2" borderId="12" xfId="0" applyFont="1" applyFill="1" applyBorder="1" applyAlignment="1">
      <alignment vertical="center" wrapText="1"/>
    </xf>
    <xf numFmtId="0" fontId="0" fillId="0" borderId="13" xfId="0" applyBorder="1" applyAlignment="1">
      <alignment horizontal="left" vertical="center" wrapText="1"/>
    </xf>
    <xf numFmtId="0" fontId="11" fillId="3" borderId="14" xfId="0" applyFont="1" applyFill="1" applyBorder="1" applyAlignment="1">
      <alignment horizontal="left" vertical="center"/>
    </xf>
    <xf numFmtId="0" fontId="2" fillId="0" borderId="15" xfId="4" applyFont="1" applyBorder="1"/>
    <xf numFmtId="0" fontId="17" fillId="0" borderId="17" xfId="0" applyFont="1" applyBorder="1" applyAlignment="1">
      <alignment horizontal="left" vertical="center" wrapText="1"/>
    </xf>
    <xf numFmtId="0" fontId="11" fillId="3" borderId="18" xfId="0" applyFont="1" applyFill="1" applyBorder="1" applyAlignment="1">
      <alignment horizontal="left" vertical="center"/>
    </xf>
    <xf numFmtId="0" fontId="17" fillId="2" borderId="19" xfId="0" applyFont="1" applyFill="1" applyBorder="1" applyAlignment="1">
      <alignment vertical="center" wrapText="1"/>
    </xf>
    <xf numFmtId="0" fontId="13" fillId="17" borderId="28" xfId="0" applyFont="1" applyFill="1" applyBorder="1" applyAlignment="1">
      <alignment horizontal="center" vertical="center"/>
    </xf>
    <xf numFmtId="0" fontId="13" fillId="17" borderId="28" xfId="0" applyFont="1" applyFill="1" applyBorder="1" applyAlignment="1">
      <alignment horizontal="center" vertical="center" wrapText="1"/>
    </xf>
    <xf numFmtId="0" fontId="13" fillId="2" borderId="0" xfId="0" applyFont="1" applyFill="1"/>
    <xf numFmtId="0" fontId="32" fillId="2" borderId="0" xfId="0" applyFont="1" applyFill="1"/>
    <xf numFmtId="43" fontId="0" fillId="2" borderId="0" xfId="0" applyNumberFormat="1" applyFill="1"/>
    <xf numFmtId="1" fontId="0" fillId="2" borderId="20" xfId="0" applyNumberFormat="1" applyFill="1" applyBorder="1" applyAlignment="1">
      <alignment horizontal="right"/>
    </xf>
    <xf numFmtId="43" fontId="0" fillId="2" borderId="20" xfId="1" applyFont="1" applyFill="1" applyBorder="1" applyAlignment="1">
      <alignment horizontal="right" vertical="center" wrapText="1"/>
    </xf>
    <xf numFmtId="43" fontId="10" fillId="2" borderId="20" xfId="1" applyFont="1" applyFill="1" applyBorder="1" applyAlignment="1">
      <alignment horizontal="right" vertical="center" wrapText="1"/>
    </xf>
    <xf numFmtId="43" fontId="17" fillId="2" borderId="20" xfId="1" applyFont="1" applyFill="1" applyBorder="1" applyAlignment="1">
      <alignment horizontal="right" vertical="center" wrapText="1"/>
    </xf>
    <xf numFmtId="165" fontId="4" fillId="2" borderId="0" xfId="0" applyNumberFormat="1" applyFont="1" applyFill="1"/>
    <xf numFmtId="0" fontId="11" fillId="5" borderId="20" xfId="0" applyFont="1" applyFill="1" applyBorder="1" applyAlignment="1">
      <alignment horizontal="center" wrapText="1"/>
    </xf>
    <xf numFmtId="0" fontId="15" fillId="7" borderId="21" xfId="0" applyFont="1" applyFill="1" applyBorder="1" applyAlignment="1">
      <alignment horizontal="center"/>
    </xf>
    <xf numFmtId="0" fontId="15" fillId="7" borderId="22" xfId="0" applyFont="1" applyFill="1" applyBorder="1" applyAlignment="1">
      <alignment horizontal="center"/>
    </xf>
    <xf numFmtId="0" fontId="15" fillId="7" borderId="23" xfId="0" applyFont="1" applyFill="1" applyBorder="1" applyAlignment="1">
      <alignment horizontal="center"/>
    </xf>
    <xf numFmtId="0" fontId="13" fillId="6" borderId="24" xfId="0" applyFont="1" applyFill="1" applyBorder="1" applyAlignment="1">
      <alignment horizontal="center"/>
    </xf>
    <xf numFmtId="0" fontId="13" fillId="6" borderId="25" xfId="0" applyFont="1" applyFill="1" applyBorder="1" applyAlignment="1">
      <alignment horizontal="center"/>
    </xf>
    <xf numFmtId="0" fontId="13" fillId="6" borderId="21" xfId="0" applyFont="1" applyFill="1" applyBorder="1" applyAlignment="1">
      <alignment horizontal="center"/>
    </xf>
    <xf numFmtId="0" fontId="13" fillId="6" borderId="22" xfId="0" applyFont="1" applyFill="1" applyBorder="1" applyAlignment="1">
      <alignment horizontal="center"/>
    </xf>
    <xf numFmtId="0" fontId="13" fillId="6" borderId="23" xfId="0" applyFont="1" applyFill="1" applyBorder="1" applyAlignment="1">
      <alignment horizontal="center"/>
    </xf>
    <xf numFmtId="0" fontId="15" fillId="7" borderId="20" xfId="0" applyFont="1" applyFill="1" applyBorder="1" applyAlignment="1">
      <alignment horizontal="center"/>
    </xf>
    <xf numFmtId="165" fontId="13" fillId="8" borderId="20" xfId="0" applyNumberFormat="1" applyFont="1" applyFill="1" applyBorder="1" applyAlignment="1">
      <alignment horizontal="center"/>
    </xf>
    <xf numFmtId="165" fontId="13" fillId="8" borderId="20" xfId="0" applyNumberFormat="1" applyFont="1" applyFill="1" applyBorder="1" applyAlignment="1">
      <alignment horizontal="center" vertical="center"/>
    </xf>
    <xf numFmtId="165" fontId="13" fillId="8" borderId="26" xfId="0" applyNumberFormat="1" applyFont="1" applyFill="1" applyBorder="1" applyAlignment="1">
      <alignment horizontal="center"/>
    </xf>
    <xf numFmtId="165" fontId="13" fillId="8" borderId="0" xfId="0" applyNumberFormat="1" applyFont="1" applyFill="1" applyAlignment="1">
      <alignment horizontal="center"/>
    </xf>
    <xf numFmtId="0" fontId="14" fillId="2" borderId="20" xfId="0" applyFont="1" applyFill="1" applyBorder="1" applyAlignment="1">
      <alignment horizontal="center" vertical="top" wrapText="1"/>
    </xf>
    <xf numFmtId="0" fontId="14" fillId="2" borderId="20" xfId="0" applyFont="1" applyFill="1" applyBorder="1" applyAlignment="1">
      <alignment horizontal="center" vertical="center" wrapText="1"/>
    </xf>
    <xf numFmtId="0" fontId="13" fillId="14" borderId="20" xfId="0" applyFont="1" applyFill="1" applyBorder="1" applyAlignment="1">
      <alignment horizontal="center"/>
    </xf>
    <xf numFmtId="0" fontId="13" fillId="14" borderId="21" xfId="0" applyFont="1" applyFill="1" applyBorder="1" applyAlignment="1">
      <alignment horizontal="center"/>
    </xf>
    <xf numFmtId="0" fontId="13" fillId="14" borderId="22" xfId="0" applyFont="1" applyFill="1" applyBorder="1" applyAlignment="1">
      <alignment horizontal="center"/>
    </xf>
    <xf numFmtId="0" fontId="13" fillId="14" borderId="23" xfId="0" applyFont="1" applyFill="1" applyBorder="1" applyAlignment="1">
      <alignment horizontal="center"/>
    </xf>
    <xf numFmtId="1" fontId="13" fillId="15" borderId="21" xfId="0" applyNumberFormat="1" applyFont="1" applyFill="1" applyBorder="1" applyAlignment="1">
      <alignment horizontal="center"/>
    </xf>
    <xf numFmtId="1" fontId="13" fillId="15" borderId="23" xfId="0" applyNumberFormat="1" applyFont="1" applyFill="1" applyBorder="1" applyAlignment="1">
      <alignment horizontal="center"/>
    </xf>
    <xf numFmtId="0" fontId="13" fillId="6" borderId="20" xfId="0" applyFont="1" applyFill="1" applyBorder="1" applyAlignment="1">
      <alignment horizontal="center"/>
    </xf>
    <xf numFmtId="0" fontId="13" fillId="15" borderId="20" xfId="0" applyFont="1" applyFill="1" applyBorder="1" applyAlignment="1">
      <alignment horizontal="center"/>
    </xf>
    <xf numFmtId="0" fontId="13" fillId="4" borderId="20" xfId="0" applyFont="1" applyFill="1" applyBorder="1" applyAlignment="1">
      <alignment horizontal="center" vertical="center" wrapText="1"/>
    </xf>
    <xf numFmtId="43" fontId="0" fillId="2" borderId="29" xfId="1" applyFont="1" applyFill="1" applyBorder="1" applyAlignment="1">
      <alignment horizontal="center" vertical="center" wrapText="1"/>
    </xf>
    <xf numFmtId="43" fontId="0" fillId="2" borderId="28" xfId="1" applyFont="1" applyFill="1" applyBorder="1" applyAlignment="1">
      <alignment horizontal="center" vertical="center" wrapText="1"/>
    </xf>
    <xf numFmtId="0" fontId="13" fillId="4" borderId="20" xfId="0" applyFont="1" applyFill="1" applyBorder="1" applyAlignment="1">
      <alignment horizontal="left" vertical="center" wrapText="1"/>
    </xf>
    <xf numFmtId="43" fontId="0" fillId="2" borderId="20" xfId="1" applyFont="1" applyFill="1" applyBorder="1" applyAlignment="1">
      <alignment horizontal="right" vertical="center" wrapText="1"/>
    </xf>
    <xf numFmtId="0" fontId="0" fillId="16" borderId="32" xfId="0" applyFill="1" applyBorder="1" applyAlignment="1">
      <alignment horizontal="center"/>
    </xf>
    <xf numFmtId="0" fontId="0" fillId="16" borderId="33" xfId="0" applyFill="1" applyBorder="1" applyAlignment="1">
      <alignment horizontal="center"/>
    </xf>
    <xf numFmtId="0" fontId="0" fillId="16" borderId="34" xfId="0" applyFill="1" applyBorder="1" applyAlignment="1">
      <alignment horizontal="center"/>
    </xf>
    <xf numFmtId="0" fontId="13" fillId="12" borderId="21" xfId="0" applyFont="1" applyFill="1" applyBorder="1" applyAlignment="1">
      <alignment horizontal="center"/>
    </xf>
    <xf numFmtId="0" fontId="13" fillId="12" borderId="22" xfId="0" applyFont="1" applyFill="1" applyBorder="1" applyAlignment="1">
      <alignment horizontal="center"/>
    </xf>
    <xf numFmtId="0" fontId="13" fillId="12" borderId="23" xfId="0" applyFont="1" applyFill="1" applyBorder="1" applyAlignment="1">
      <alignment horizontal="center"/>
    </xf>
    <xf numFmtId="0" fontId="24" fillId="4" borderId="21" xfId="0" applyFont="1" applyFill="1" applyBorder="1" applyAlignment="1">
      <alignment horizontal="center"/>
    </xf>
    <xf numFmtId="0" fontId="24" fillId="4" borderId="22" xfId="0" applyFont="1" applyFill="1" applyBorder="1" applyAlignment="1">
      <alignment horizontal="center"/>
    </xf>
    <xf numFmtId="0" fontId="24" fillId="4" borderId="23" xfId="0" applyFont="1" applyFill="1" applyBorder="1" applyAlignment="1">
      <alignment horizontal="center"/>
    </xf>
    <xf numFmtId="0" fontId="22" fillId="2" borderId="20" xfId="0" applyFont="1" applyFill="1" applyBorder="1" applyAlignment="1">
      <alignment horizontal="center" vertical="center"/>
    </xf>
    <xf numFmtId="0" fontId="22" fillId="2" borderId="20" xfId="0" applyFont="1" applyFill="1" applyBorder="1" applyAlignment="1">
      <alignment horizontal="center" vertical="center" wrapText="1"/>
    </xf>
    <xf numFmtId="0" fontId="23" fillId="6" borderId="20" xfId="0" applyFont="1" applyFill="1" applyBorder="1" applyAlignment="1">
      <alignment horizontal="center" wrapText="1"/>
    </xf>
    <xf numFmtId="0" fontId="2" fillId="2" borderId="20" xfId="3" applyFill="1" applyBorder="1" applyAlignment="1">
      <alignment horizontal="center" vertical="center"/>
    </xf>
    <xf numFmtId="0" fontId="2" fillId="2" borderId="20" xfId="3" applyFill="1" applyBorder="1" applyAlignment="1">
      <alignment horizontal="center" vertical="center" wrapText="1"/>
    </xf>
    <xf numFmtId="0" fontId="29" fillId="2" borderId="20" xfId="3" applyFont="1" applyFill="1" applyBorder="1" applyAlignment="1">
      <alignment horizontal="center" vertical="center" wrapText="1"/>
    </xf>
    <xf numFmtId="0" fontId="29" fillId="2" borderId="20" xfId="3" applyFont="1" applyFill="1" applyBorder="1" applyAlignment="1">
      <alignment horizontal="center" vertical="center"/>
    </xf>
    <xf numFmtId="0" fontId="29" fillId="2" borderId="29" xfId="3" applyFont="1" applyFill="1" applyBorder="1" applyAlignment="1">
      <alignment horizontal="center" vertical="center"/>
    </xf>
    <xf numFmtId="0" fontId="29" fillId="2" borderId="28" xfId="3" applyFont="1" applyFill="1" applyBorder="1" applyAlignment="1">
      <alignment horizontal="center" vertical="center"/>
    </xf>
    <xf numFmtId="0" fontId="29" fillId="2" borderId="20" xfId="3" applyFont="1" applyFill="1" applyBorder="1" applyAlignment="1">
      <alignment horizontal="center" wrapText="1"/>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4" fillId="5" borderId="20" xfId="0" applyFont="1" applyFill="1" applyBorder="1" applyAlignment="1">
      <alignment horizontal="left" vertical="center"/>
    </xf>
    <xf numFmtId="0" fontId="25" fillId="6" borderId="20" xfId="0" applyFont="1" applyFill="1" applyBorder="1" applyAlignment="1">
      <alignment horizontal="center" wrapText="1"/>
    </xf>
    <xf numFmtId="0" fontId="24" fillId="6" borderId="20" xfId="0" applyFont="1" applyFill="1" applyBorder="1" applyAlignment="1">
      <alignment horizontal="center"/>
    </xf>
  </cellXfs>
  <cellStyles count="5">
    <cellStyle name="Comma" xfId="1" builtinId="3"/>
    <cellStyle name="Hyperlink" xfId="3" builtinId="8"/>
    <cellStyle name="Hyperlink 2" xfId="4" xr:uid="{89646BFC-FF64-41DD-ADBB-38AB487DEAD0}"/>
    <cellStyle name="Normal" xfId="0" builtinId="0"/>
    <cellStyle name="Percent" xfId="2" builtinId="5"/>
  </cellStyles>
  <dxfs count="0"/>
  <tableStyles count="0" defaultTableStyle="TableStyleMedium2" defaultPivotStyle="PivotStyleLight16"/>
  <colors>
    <mruColors>
      <color rgb="FFFF5050"/>
      <color rgb="FF00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'2'!$B$6</c:f>
              <c:strCache>
                <c:ptCount val="1"/>
                <c:pt idx="0">
                  <c:v>Iron &amp; Steel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'2'!$C$6:$M$6</c:f>
              <c:numCache>
                <c:formatCode>_(* #,##0.00_);_(* \(#,##0.00\);_(* "-"??_);_(@_)</c:formatCode>
                <c:ptCount val="11"/>
                <c:pt idx="0">
                  <c:v>100.76110257034267</c:v>
                </c:pt>
                <c:pt idx="1">
                  <c:v>114.50978255183193</c:v>
                </c:pt>
                <c:pt idx="2">
                  <c:v>145.54462647801384</c:v>
                </c:pt>
                <c:pt idx="3">
                  <c:v>153.5141654542345</c:v>
                </c:pt>
                <c:pt idx="4">
                  <c:v>176.46667569593848</c:v>
                </c:pt>
                <c:pt idx="5">
                  <c:v>194.10358740886485</c:v>
                </c:pt>
                <c:pt idx="6">
                  <c:v>200.16795148428434</c:v>
                </c:pt>
                <c:pt idx="7">
                  <c:v>214.0705853440007</c:v>
                </c:pt>
                <c:pt idx="8">
                  <c:v>215.41962851925669</c:v>
                </c:pt>
                <c:pt idx="9">
                  <c:v>223.50537735016906</c:v>
                </c:pt>
                <c:pt idx="10">
                  <c:v>202.55835062321555</c:v>
                </c:pt>
              </c:numCache>
            </c:numRef>
          </c:val>
          <c:extLst>
            <c:ext xmlns:c16="http://schemas.microsoft.com/office/drawing/2014/chart" uri="{C3380CC4-5D6E-409C-BE32-E72D297353CC}">
              <c16:uniqueId val="{00000000-2B83-4115-93BB-99FCDB158F7F}"/>
            </c:ext>
          </c:extLst>
        </c:ser>
        <c:ser>
          <c:idx val="1"/>
          <c:order val="1"/>
          <c:tx>
            <c:strRef>
              <c:f>'2'!$B$7</c:f>
              <c:strCache>
                <c:ptCount val="1"/>
                <c:pt idx="0">
                  <c:v>Chemicals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'2'!$C$7:$M$7</c:f>
              <c:numCache>
                <c:formatCode>_(* #,##0.00_);_(* \(#,##0.00\);_(* "-"??_);_(@_)</c:formatCode>
                <c:ptCount val="11"/>
                <c:pt idx="0">
                  <c:v>48.550746223721504</c:v>
                </c:pt>
                <c:pt idx="1">
                  <c:v>51.381721544703574</c:v>
                </c:pt>
                <c:pt idx="2">
                  <c:v>54.732760151682299</c:v>
                </c:pt>
                <c:pt idx="3">
                  <c:v>59.019758927726691</c:v>
                </c:pt>
                <c:pt idx="4">
                  <c:v>63.09342557974648</c:v>
                </c:pt>
                <c:pt idx="5">
                  <c:v>61.225642520764325</c:v>
                </c:pt>
                <c:pt idx="6">
                  <c:v>63.070833377961961</c:v>
                </c:pt>
                <c:pt idx="7">
                  <c:v>68.722758387237036</c:v>
                </c:pt>
                <c:pt idx="8">
                  <c:v>74.641985455564196</c:v>
                </c:pt>
                <c:pt idx="9">
                  <c:v>85.246073095886601</c:v>
                </c:pt>
                <c:pt idx="10">
                  <c:v>78.078823409016948</c:v>
                </c:pt>
              </c:numCache>
            </c:numRef>
          </c:val>
          <c:extLst>
            <c:ext xmlns:c16="http://schemas.microsoft.com/office/drawing/2014/chart" uri="{C3380CC4-5D6E-409C-BE32-E72D297353CC}">
              <c16:uniqueId val="{00000001-2B83-4115-93BB-99FCDB158F7F}"/>
            </c:ext>
          </c:extLst>
        </c:ser>
        <c:ser>
          <c:idx val="3"/>
          <c:order val="2"/>
          <c:tx>
            <c:strRef>
              <c:f>'2'!$B$9</c:f>
              <c:strCache>
                <c:ptCount val="1"/>
                <c:pt idx="0">
                  <c:v>Non-Ferrous Metals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'2'!$C$9:$M$9</c:f>
              <c:numCache>
                <c:formatCode>_(* #,##0.00_);_(* \(#,##0.00\);_(* "-"??_);_(@_)</c:formatCode>
                <c:ptCount val="11"/>
                <c:pt idx="0">
                  <c:v>22.967309668240876</c:v>
                </c:pt>
                <c:pt idx="1">
                  <c:v>28.665279711552031</c:v>
                </c:pt>
                <c:pt idx="2">
                  <c:v>30.515739607987204</c:v>
                </c:pt>
                <c:pt idx="3">
                  <c:v>31.943023367905607</c:v>
                </c:pt>
                <c:pt idx="4">
                  <c:v>30.676227985798992</c:v>
                </c:pt>
                <c:pt idx="5">
                  <c:v>35.083080096104332</c:v>
                </c:pt>
                <c:pt idx="6">
                  <c:v>46.214755984332491</c:v>
                </c:pt>
                <c:pt idx="7">
                  <c:v>52.170660979286176</c:v>
                </c:pt>
                <c:pt idx="8">
                  <c:v>43.750067801429758</c:v>
                </c:pt>
                <c:pt idx="9">
                  <c:v>42.591205991522799</c:v>
                </c:pt>
                <c:pt idx="10">
                  <c:v>54.119122656790331</c:v>
                </c:pt>
              </c:numCache>
            </c:numRef>
          </c:val>
          <c:extLst>
            <c:ext xmlns:c16="http://schemas.microsoft.com/office/drawing/2014/chart" uri="{C3380CC4-5D6E-409C-BE32-E72D297353CC}">
              <c16:uniqueId val="{00000003-2B83-4115-93BB-99FCDB158F7F}"/>
            </c:ext>
          </c:extLst>
        </c:ser>
        <c:ser>
          <c:idx val="4"/>
          <c:order val="3"/>
          <c:tx>
            <c:strRef>
              <c:f>'2'!$B$10</c:f>
              <c:strCache>
                <c:ptCount val="1"/>
                <c:pt idx="0">
                  <c:v>Non-metallic minerals</c:v>
                </c:pt>
              </c:strCache>
            </c:strRef>
          </c:tx>
          <c:spPr>
            <a:solidFill>
              <a:srgbClr val="92D050"/>
            </a:soli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'2'!$C$10:$M$10</c:f>
              <c:numCache>
                <c:formatCode>_(* #,##0.00_);_(* \(#,##0.00\);_(* "-"??_);_(@_)</c:formatCode>
                <c:ptCount val="11"/>
                <c:pt idx="0">
                  <c:v>104.28512196905319</c:v>
                </c:pt>
                <c:pt idx="1">
                  <c:v>113.33998273500893</c:v>
                </c:pt>
                <c:pt idx="2">
                  <c:v>124.46497838376112</c:v>
                </c:pt>
                <c:pt idx="3">
                  <c:v>134.29595466045583</c:v>
                </c:pt>
                <c:pt idx="4">
                  <c:v>147.46856235585085</c:v>
                </c:pt>
                <c:pt idx="5">
                  <c:v>160.36439632998221</c:v>
                </c:pt>
                <c:pt idx="6">
                  <c:v>166.69665525573552</c:v>
                </c:pt>
                <c:pt idx="7">
                  <c:v>175.75641602648258</c:v>
                </c:pt>
                <c:pt idx="8">
                  <c:v>185.50220836641836</c:v>
                </c:pt>
                <c:pt idx="9">
                  <c:v>200.60278228935957</c:v>
                </c:pt>
                <c:pt idx="10">
                  <c:v>190.09903346065568</c:v>
                </c:pt>
              </c:numCache>
            </c:numRef>
          </c:val>
          <c:extLst>
            <c:ext xmlns:c16="http://schemas.microsoft.com/office/drawing/2014/chart" uri="{C3380CC4-5D6E-409C-BE32-E72D297353CC}">
              <c16:uniqueId val="{00000004-2B83-4115-93BB-99FCDB158F7F}"/>
            </c:ext>
          </c:extLst>
        </c:ser>
        <c:ser>
          <c:idx val="5"/>
          <c:order val="4"/>
          <c:tx>
            <c:strRef>
              <c:f>'2'!$B$11</c:f>
              <c:strCache>
                <c:ptCount val="1"/>
                <c:pt idx="0">
                  <c:v>Non-Energy products from fuels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'2'!$C$11:$M$11</c:f>
              <c:numCache>
                <c:formatCode>_(* #,##0.00_);_(* \(#,##0.00\);_(* "-"??_);_(@_)</c:formatCode>
                <c:ptCount val="11"/>
                <c:pt idx="0">
                  <c:v>1.2565337996895354</c:v>
                </c:pt>
                <c:pt idx="1">
                  <c:v>1.1194639194139502</c:v>
                </c:pt>
                <c:pt idx="2">
                  <c:v>1.2896315827582394</c:v>
                </c:pt>
                <c:pt idx="3">
                  <c:v>0.88681651448855991</c:v>
                </c:pt>
                <c:pt idx="4">
                  <c:v>0.89180785263065043</c:v>
                </c:pt>
                <c:pt idx="5">
                  <c:v>1.9118328814245182</c:v>
                </c:pt>
                <c:pt idx="6">
                  <c:v>2.3910668297765065</c:v>
                </c:pt>
                <c:pt idx="7">
                  <c:v>2.3296481297215186</c:v>
                </c:pt>
                <c:pt idx="8">
                  <c:v>1.9572412911287398</c:v>
                </c:pt>
                <c:pt idx="9">
                  <c:v>3.707874527165977</c:v>
                </c:pt>
                <c:pt idx="10">
                  <c:v>2.6208744969495945</c:v>
                </c:pt>
              </c:numCache>
            </c:numRef>
          </c:val>
          <c:extLst>
            <c:ext xmlns:c16="http://schemas.microsoft.com/office/drawing/2014/chart" uri="{C3380CC4-5D6E-409C-BE32-E72D297353CC}">
              <c16:uniqueId val="{00000005-2B83-4115-93BB-99FCDB158F7F}"/>
            </c:ext>
          </c:extLst>
        </c:ser>
        <c:ser>
          <c:idx val="6"/>
          <c:order val="5"/>
          <c:tx>
            <c:strRef>
              <c:f>'2'!$B$12</c:f>
              <c:strCache>
                <c:ptCount val="1"/>
                <c:pt idx="0">
                  <c:v>Refining + manufacture of solid fuels, Other energy Industry</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'2'!$C$12:$M$12</c:f>
              <c:numCache>
                <c:formatCode>_(* #,##0.00_);_(* \(#,##0.00\);_(* "-"??_);_(@_)</c:formatCode>
                <c:ptCount val="11"/>
                <c:pt idx="0">
                  <c:v>30.296462706495774</c:v>
                </c:pt>
                <c:pt idx="1">
                  <c:v>33.993417540226901</c:v>
                </c:pt>
                <c:pt idx="2">
                  <c:v>36.27324125643954</c:v>
                </c:pt>
                <c:pt idx="3">
                  <c:v>40.17595458019364</c:v>
                </c:pt>
                <c:pt idx="4">
                  <c:v>46.119019484421038</c:v>
                </c:pt>
                <c:pt idx="5">
                  <c:v>48.877676393082623</c:v>
                </c:pt>
                <c:pt idx="6">
                  <c:v>51.309538161781134</c:v>
                </c:pt>
                <c:pt idx="7">
                  <c:v>51.64893990662997</c:v>
                </c:pt>
                <c:pt idx="8">
                  <c:v>52.139745971023913</c:v>
                </c:pt>
                <c:pt idx="9">
                  <c:v>56.656140905886787</c:v>
                </c:pt>
                <c:pt idx="10">
                  <c:v>61.183840849890856</c:v>
                </c:pt>
              </c:numCache>
            </c:numRef>
          </c:val>
          <c:extLst>
            <c:ext xmlns:c16="http://schemas.microsoft.com/office/drawing/2014/chart" uri="{C3380CC4-5D6E-409C-BE32-E72D297353CC}">
              <c16:uniqueId val="{00000006-2B83-4115-93BB-99FCDB158F7F}"/>
            </c:ext>
          </c:extLst>
        </c:ser>
        <c:ser>
          <c:idx val="7"/>
          <c:order val="6"/>
          <c:tx>
            <c:strRef>
              <c:f>'2'!$B$13</c:f>
              <c:strCache>
                <c:ptCount val="1"/>
                <c:pt idx="0">
                  <c:v>Mining</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'2'!$C$13:$M$13</c:f>
              <c:numCache>
                <c:formatCode>_(* #,##0.00_);_(* \(#,##0.00\);_(* "-"??_);_(@_)</c:formatCode>
                <c:ptCount val="11"/>
                <c:pt idx="0">
                  <c:v>2.386335501408577E-2</c:v>
                </c:pt>
                <c:pt idx="1">
                  <c:v>1.4469538493871689E-2</c:v>
                </c:pt>
                <c:pt idx="2">
                  <c:v>9.6024044442176836E-3</c:v>
                </c:pt>
                <c:pt idx="3">
                  <c:v>1.5615874267518521E-2</c:v>
                </c:pt>
                <c:pt idx="4">
                  <c:v>5.0283980031192298E-2</c:v>
                </c:pt>
                <c:pt idx="5">
                  <c:v>5.9260233675736934E-2</c:v>
                </c:pt>
                <c:pt idx="6">
                  <c:v>6.3887283422418409E-2</c:v>
                </c:pt>
                <c:pt idx="7">
                  <c:v>5.0607011067145977E-2</c:v>
                </c:pt>
                <c:pt idx="8">
                  <c:v>3.8479618706226348E-2</c:v>
                </c:pt>
                <c:pt idx="9">
                  <c:v>0.10275639109802247</c:v>
                </c:pt>
                <c:pt idx="10">
                  <c:v>7.877617975735339E-2</c:v>
                </c:pt>
              </c:numCache>
            </c:numRef>
          </c:val>
          <c:extLst>
            <c:ext xmlns:c16="http://schemas.microsoft.com/office/drawing/2014/chart" uri="{C3380CC4-5D6E-409C-BE32-E72D297353CC}">
              <c16:uniqueId val="{00000007-2B83-4115-93BB-99FCDB158F7F}"/>
            </c:ext>
          </c:extLst>
        </c:ser>
        <c:ser>
          <c:idx val="8"/>
          <c:order val="7"/>
          <c:tx>
            <c:strRef>
              <c:f>'2'!$B$14</c:f>
              <c:strCache>
                <c:ptCount val="1"/>
                <c:pt idx="0">
                  <c:v>Textile and Leather</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'2'!$C$14:$M$14</c:f>
              <c:numCache>
                <c:formatCode>_(* #,##0.00_);_(* \(#,##0.00\);_(* "-"??_);_(@_)</c:formatCode>
                <c:ptCount val="11"/>
                <c:pt idx="0">
                  <c:v>8.4824685555088024</c:v>
                </c:pt>
                <c:pt idx="1">
                  <c:v>9.1893931576435079</c:v>
                </c:pt>
                <c:pt idx="2">
                  <c:v>9.5711165783843128</c:v>
                </c:pt>
                <c:pt idx="3">
                  <c:v>11.893231970467976</c:v>
                </c:pt>
                <c:pt idx="4">
                  <c:v>12.686975679603863</c:v>
                </c:pt>
                <c:pt idx="5">
                  <c:v>13.159652199132543</c:v>
                </c:pt>
                <c:pt idx="6">
                  <c:v>13.483579881113577</c:v>
                </c:pt>
                <c:pt idx="7">
                  <c:v>15.806558596892536</c:v>
                </c:pt>
                <c:pt idx="8">
                  <c:v>15.291039146127758</c:v>
                </c:pt>
                <c:pt idx="9">
                  <c:v>17.484182755857542</c:v>
                </c:pt>
                <c:pt idx="10">
                  <c:v>16.537209523961529</c:v>
                </c:pt>
              </c:numCache>
            </c:numRef>
          </c:val>
          <c:extLst>
            <c:ext xmlns:c16="http://schemas.microsoft.com/office/drawing/2014/chart" uri="{C3380CC4-5D6E-409C-BE32-E72D297353CC}">
              <c16:uniqueId val="{00000008-2B83-4115-93BB-99FCDB158F7F}"/>
            </c:ext>
          </c:extLst>
        </c:ser>
        <c:ser>
          <c:idx val="9"/>
          <c:order val="8"/>
          <c:tx>
            <c:strRef>
              <c:f>'2'!$B$15</c:f>
              <c:strCache>
                <c:ptCount val="1"/>
                <c:pt idx="0">
                  <c:v>Food &amp; Beverages</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'2'!$C$15:$M$15</c:f>
              <c:numCache>
                <c:formatCode>_(* #,##0.00_);_(* \(#,##0.00\);_(* "-"??_);_(@_)</c:formatCode>
                <c:ptCount val="11"/>
                <c:pt idx="0">
                  <c:v>7.3311581715136542</c:v>
                </c:pt>
                <c:pt idx="1">
                  <c:v>7.6417863838539954</c:v>
                </c:pt>
                <c:pt idx="2">
                  <c:v>6.8262385526655835</c:v>
                </c:pt>
                <c:pt idx="3">
                  <c:v>8.39270965856951</c:v>
                </c:pt>
                <c:pt idx="4">
                  <c:v>10.921858927866952</c:v>
                </c:pt>
                <c:pt idx="5">
                  <c:v>9.4063011348353118</c:v>
                </c:pt>
                <c:pt idx="6">
                  <c:v>8.6465199436096842</c:v>
                </c:pt>
                <c:pt idx="7">
                  <c:v>9.620505973779375</c:v>
                </c:pt>
                <c:pt idx="8">
                  <c:v>9.9425301025320056</c:v>
                </c:pt>
                <c:pt idx="9">
                  <c:v>11.779378286364921</c:v>
                </c:pt>
                <c:pt idx="10">
                  <c:v>9.4922253251962516</c:v>
                </c:pt>
              </c:numCache>
            </c:numRef>
          </c:val>
          <c:extLst>
            <c:ext xmlns:c16="http://schemas.microsoft.com/office/drawing/2014/chart" uri="{C3380CC4-5D6E-409C-BE32-E72D297353CC}">
              <c16:uniqueId val="{00000009-2B83-4115-93BB-99FCDB158F7F}"/>
            </c:ext>
          </c:extLst>
        </c:ser>
        <c:ser>
          <c:idx val="10"/>
          <c:order val="9"/>
          <c:tx>
            <c:strRef>
              <c:f>'2'!$B$16</c:f>
              <c:strCache>
                <c:ptCount val="1"/>
                <c:pt idx="0">
                  <c:v>Pulp, paper and Print</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'2'!$C$16:$M$16</c:f>
              <c:numCache>
                <c:formatCode>_(* #,##0.00_);_(* \(#,##0.00\);_(* "-"??_);_(@_)</c:formatCode>
                <c:ptCount val="11"/>
                <c:pt idx="0">
                  <c:v>9.9127593328446739</c:v>
                </c:pt>
                <c:pt idx="1">
                  <c:v>9.8108648334119799</c:v>
                </c:pt>
                <c:pt idx="2">
                  <c:v>10.043828328319144</c:v>
                </c:pt>
                <c:pt idx="3">
                  <c:v>10.037991173995234</c:v>
                </c:pt>
                <c:pt idx="4">
                  <c:v>10.022641374413359</c:v>
                </c:pt>
                <c:pt idx="5">
                  <c:v>10.824716333750267</c:v>
                </c:pt>
                <c:pt idx="6">
                  <c:v>10.938736990297006</c:v>
                </c:pt>
                <c:pt idx="7">
                  <c:v>12.226019027859477</c:v>
                </c:pt>
                <c:pt idx="8">
                  <c:v>13.538149748900874</c:v>
                </c:pt>
                <c:pt idx="9">
                  <c:v>14.523066467658946</c:v>
                </c:pt>
                <c:pt idx="10">
                  <c:v>12.635052731530926</c:v>
                </c:pt>
              </c:numCache>
            </c:numRef>
          </c:val>
          <c:extLst>
            <c:ext xmlns:c16="http://schemas.microsoft.com/office/drawing/2014/chart" uri="{C3380CC4-5D6E-409C-BE32-E72D297353CC}">
              <c16:uniqueId val="{0000000A-2B83-4115-93BB-99FCDB158F7F}"/>
            </c:ext>
          </c:extLst>
        </c:ser>
        <c:ser>
          <c:idx val="11"/>
          <c:order val="10"/>
          <c:tx>
            <c:strRef>
              <c:f>'2'!$B$17</c:f>
              <c:strCache>
                <c:ptCount val="1"/>
                <c:pt idx="0">
                  <c:v>Transport Equipment</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'2'!$C$17:$M$17</c:f>
              <c:numCache>
                <c:formatCode>_(* #,##0.00_);_(* \(#,##0.00\);_(* "-"??_);_(@_)</c:formatCode>
                <c:ptCount val="11"/>
                <c:pt idx="0">
                  <c:v>1.513745747483179</c:v>
                </c:pt>
                <c:pt idx="1">
                  <c:v>1.4969076155458725</c:v>
                </c:pt>
                <c:pt idx="2">
                  <c:v>1.7314490285341613</c:v>
                </c:pt>
                <c:pt idx="3">
                  <c:v>1.8717879981022956</c:v>
                </c:pt>
                <c:pt idx="4">
                  <c:v>2.2416337745094741</c:v>
                </c:pt>
                <c:pt idx="5">
                  <c:v>2.4401362114053358</c:v>
                </c:pt>
                <c:pt idx="6">
                  <c:v>2.6593257238436272</c:v>
                </c:pt>
                <c:pt idx="7">
                  <c:v>3.7090095701043411</c:v>
                </c:pt>
                <c:pt idx="8">
                  <c:v>2.9205422407030754</c:v>
                </c:pt>
                <c:pt idx="9">
                  <c:v>2.5979084698153385</c:v>
                </c:pt>
                <c:pt idx="10">
                  <c:v>2.0003229402416745</c:v>
                </c:pt>
              </c:numCache>
            </c:numRef>
          </c:val>
          <c:extLst>
            <c:ext xmlns:c16="http://schemas.microsoft.com/office/drawing/2014/chart" uri="{C3380CC4-5D6E-409C-BE32-E72D297353CC}">
              <c16:uniqueId val="{0000000B-2B83-4115-93BB-99FCDB158F7F}"/>
            </c:ext>
          </c:extLst>
        </c:ser>
        <c:ser>
          <c:idx val="12"/>
          <c:order val="11"/>
          <c:tx>
            <c:strRef>
              <c:f>'2'!$B$18</c:f>
              <c:strCache>
                <c:ptCount val="1"/>
                <c:pt idx="0">
                  <c:v>Wood &amp; wood products</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'2'!$C$18:$M$18</c:f>
              <c:numCache>
                <c:formatCode>_(* #,##0.00_);_(* \(#,##0.00\);_(* "-"??_);_(@_)</c:formatCode>
                <c:ptCount val="11"/>
                <c:pt idx="0">
                  <c:v>0.1605967771348506</c:v>
                </c:pt>
                <c:pt idx="1">
                  <c:v>0.17703056688573213</c:v>
                </c:pt>
                <c:pt idx="2">
                  <c:v>0.11973001424755528</c:v>
                </c:pt>
                <c:pt idx="3">
                  <c:v>0.194174064463906</c:v>
                </c:pt>
                <c:pt idx="4">
                  <c:v>0.26321490719668195</c:v>
                </c:pt>
                <c:pt idx="5">
                  <c:v>0.25572428512966888</c:v>
                </c:pt>
                <c:pt idx="6">
                  <c:v>0.2267430579533859</c:v>
                </c:pt>
                <c:pt idx="7">
                  <c:v>0.33226422504754644</c:v>
                </c:pt>
                <c:pt idx="8">
                  <c:v>0.26858256834667693</c:v>
                </c:pt>
                <c:pt idx="9">
                  <c:v>0.22101212462374978</c:v>
                </c:pt>
                <c:pt idx="10">
                  <c:v>0.18192867772993926</c:v>
                </c:pt>
              </c:numCache>
            </c:numRef>
          </c:val>
          <c:extLst>
            <c:ext xmlns:c16="http://schemas.microsoft.com/office/drawing/2014/chart" uri="{C3380CC4-5D6E-409C-BE32-E72D297353CC}">
              <c16:uniqueId val="{0000000C-2B83-4115-93BB-99FCDB158F7F}"/>
            </c:ext>
          </c:extLst>
        </c:ser>
        <c:ser>
          <c:idx val="13"/>
          <c:order val="12"/>
          <c:tx>
            <c:strRef>
              <c:f>'2'!$B$19</c:f>
              <c:strCache>
                <c:ptCount val="1"/>
                <c:pt idx="0">
                  <c:v>Construction</c:v>
                </c:pt>
              </c:strCache>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'2'!$C$19:$M$19</c:f>
              <c:numCache>
                <c:formatCode>_(* #,##0.00_);_(* \(#,##0.00\);_(* "-"??_);_(@_)</c:formatCode>
                <c:ptCount val="11"/>
                <c:pt idx="0">
                  <c:v>0</c:v>
                </c:pt>
                <c:pt idx="1">
                  <c:v>0</c:v>
                </c:pt>
                <c:pt idx="2">
                  <c:v>3.9583933639526363E-4</c:v>
                </c:pt>
                <c:pt idx="3">
                  <c:v>0.55736291949580608</c:v>
                </c:pt>
                <c:pt idx="4">
                  <c:v>0.18705580566318333</c:v>
                </c:pt>
                <c:pt idx="5">
                  <c:v>4.3738265991210938E-4</c:v>
                </c:pt>
                <c:pt idx="6">
                  <c:v>0</c:v>
                </c:pt>
                <c:pt idx="7">
                  <c:v>6.9224510968300167E-3</c:v>
                </c:pt>
                <c:pt idx="8">
                  <c:v>2.3076497276625016E-3</c:v>
                </c:pt>
                <c:pt idx="9">
                  <c:v>8.216394984477432E-3</c:v>
                </c:pt>
                <c:pt idx="10">
                  <c:v>2.7599843848347665E-3</c:v>
                </c:pt>
              </c:numCache>
            </c:numRef>
          </c:val>
          <c:extLst>
            <c:ext xmlns:c16="http://schemas.microsoft.com/office/drawing/2014/chart" uri="{C3380CC4-5D6E-409C-BE32-E72D297353CC}">
              <c16:uniqueId val="{0000000D-2B83-4115-93BB-99FCDB158F7F}"/>
            </c:ext>
          </c:extLst>
        </c:ser>
        <c:ser>
          <c:idx val="14"/>
          <c:order val="13"/>
          <c:tx>
            <c:strRef>
              <c:f>'2'!$B$20</c:f>
              <c:strCache>
                <c:ptCount val="1"/>
                <c:pt idx="0">
                  <c:v>Machinery</c:v>
                </c:pt>
              </c:strCache>
            </c:strRef>
          </c:tx>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'2'!$C$20:$M$20</c:f>
              <c:numCache>
                <c:formatCode>_(* #,##0.00_);_(* \(#,##0.00\);_(* "-"??_);_(@_)</c:formatCode>
                <c:ptCount val="11"/>
                <c:pt idx="0">
                  <c:v>4.1797044055993968</c:v>
                </c:pt>
                <c:pt idx="1">
                  <c:v>5.4963953586766801</c:v>
                </c:pt>
                <c:pt idx="2">
                  <c:v>4.906015119071764</c:v>
                </c:pt>
                <c:pt idx="3">
                  <c:v>4.9474539418506049</c:v>
                </c:pt>
                <c:pt idx="4">
                  <c:v>8.6658777589664577</c:v>
                </c:pt>
                <c:pt idx="5">
                  <c:v>5.1685393891804559</c:v>
                </c:pt>
                <c:pt idx="6">
                  <c:v>4.0097886362373396</c:v>
                </c:pt>
                <c:pt idx="7">
                  <c:v>9.435337004706394</c:v>
                </c:pt>
                <c:pt idx="8">
                  <c:v>9.4429821918599082</c:v>
                </c:pt>
                <c:pt idx="9">
                  <c:v>4.6069659714082301</c:v>
                </c:pt>
                <c:pt idx="10">
                  <c:v>2.9217699517389772</c:v>
                </c:pt>
              </c:numCache>
            </c:numRef>
          </c:val>
          <c:extLst>
            <c:ext xmlns:c16="http://schemas.microsoft.com/office/drawing/2014/chart" uri="{C3380CC4-5D6E-409C-BE32-E72D297353CC}">
              <c16:uniqueId val="{0000000E-2B83-4115-93BB-99FCDB158F7F}"/>
            </c:ext>
          </c:extLst>
        </c:ser>
        <c:ser>
          <c:idx val="15"/>
          <c:order val="14"/>
          <c:tx>
            <c:strRef>
              <c:f>'2'!$B$21</c:f>
              <c:strCache>
                <c:ptCount val="1"/>
                <c:pt idx="0">
                  <c:v>Manufacturing n.e.c (jewellery, sports and musical instruments)</c:v>
                </c:pt>
              </c:strCache>
            </c:strRef>
          </c:tx>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c:spPr>
          <c:cat>
            <c:numRef>
              <c:f>'2'!$C$4:$M$4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'2'!$C$21:$M$21</c:f>
              <c:numCache>
                <c:formatCode>_(* #,##0.00_);_(* \(#,##0.00\);_(* "-"??_);_(@_)</c:formatCode>
                <c:ptCount val="11"/>
                <c:pt idx="0">
                  <c:v>0.78405749645140521</c:v>
                </c:pt>
                <c:pt idx="1">
                  <c:v>0.68150659507124833</c:v>
                </c:pt>
                <c:pt idx="2">
                  <c:v>0.74420797293468266</c:v>
                </c:pt>
                <c:pt idx="3">
                  <c:v>0.94617615295689461</c:v>
                </c:pt>
                <c:pt idx="4">
                  <c:v>1.7914780688061704</c:v>
                </c:pt>
                <c:pt idx="5">
                  <c:v>1.7375904876491222</c:v>
                </c:pt>
                <c:pt idx="6">
                  <c:v>1.9760158524800835</c:v>
                </c:pt>
                <c:pt idx="7">
                  <c:v>2.9302809167974693</c:v>
                </c:pt>
                <c:pt idx="8">
                  <c:v>2.6435791241669677</c:v>
                </c:pt>
                <c:pt idx="9">
                  <c:v>3.1886914790061991</c:v>
                </c:pt>
                <c:pt idx="10">
                  <c:v>2.76114921524153</c:v>
                </c:pt>
              </c:numCache>
            </c:numRef>
          </c:val>
          <c:extLst>
            <c:ext xmlns:c16="http://schemas.microsoft.com/office/drawing/2014/chart" uri="{C3380CC4-5D6E-409C-BE32-E72D297353CC}">
              <c16:uniqueId val="{0000000F-2B83-4115-93BB-99FCDB158F7F}"/>
            </c:ext>
          </c:extLst>
        </c:ser>
        <c:dLbls>
          <c:showLegendKey val="0"/>
          <c:showVal val="0"/>
          <c:showCatName val="0"/>
          <c:showSerName val="0"/>
          <c:showPercent val="0"/>
          <c:showBubbleSize val="0"/>
        </c:dLbls>
        <c:axId val="269200624"/>
        <c:axId val="1677728288"/>
      </c:areaChart>
      <c:catAx>
        <c:axId val="269200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7728288"/>
        <c:crosses val="autoZero"/>
        <c:auto val="1"/>
        <c:lblAlgn val="ctr"/>
        <c:lblOffset val="100"/>
        <c:noMultiLvlLbl val="0"/>
      </c:catAx>
      <c:valAx>
        <c:axId val="167772828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sz="1100">
                    <a:latin typeface="Times New Roman" panose="02020603050405020304" pitchFamily="18" charset="0"/>
                    <a:cs typeface="Times New Roman" panose="02020603050405020304" pitchFamily="18" charset="0"/>
                  </a:rPr>
                  <a:t>Emissions</a:t>
                </a:r>
                <a:r>
                  <a:rPr lang="en-IN" sz="1100" baseline="0">
                    <a:latin typeface="Times New Roman" panose="02020603050405020304" pitchFamily="18" charset="0"/>
                    <a:cs typeface="Times New Roman" panose="02020603050405020304" pitchFamily="18" charset="0"/>
                  </a:rPr>
                  <a:t> CO2eq (in Million tonnes)</a:t>
                </a:r>
                <a:endParaRPr lang="en-IN" sz="1100">
                  <a:latin typeface="Times New Roman" panose="02020603050405020304" pitchFamily="18" charset="0"/>
                  <a:cs typeface="Times New Roman" panose="02020603050405020304" pitchFamily="18" charset="0"/>
                </a:endParaRP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69200624"/>
        <c:crosses val="autoZero"/>
        <c:crossBetween val="midCat"/>
      </c:valAx>
      <c:spPr>
        <a:noFill/>
        <a:ln>
          <a:noFill/>
        </a:ln>
        <a:effectLst/>
      </c:spPr>
    </c:plotArea>
    <c:legend>
      <c:legendPos val="b"/>
      <c:layout>
        <c:manualLayout>
          <c:xMode val="edge"/>
          <c:yMode val="edge"/>
          <c:x val="7.6967790629885444E-2"/>
          <c:y val="0.71052155689841112"/>
          <c:w val="0.91110100288006723"/>
          <c:h val="0.274702801684673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Times New Roman" panose="02020603050405020304" pitchFamily="18" charset="0"/>
              <a:ea typeface="+mn-ea"/>
              <a:cs typeface="+mn-cs"/>
            </a:defRPr>
          </a:pPr>
          <a:endParaRPr lang="en-US"/>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'5'!$C$4</c:f>
              <c:strCache>
                <c:ptCount val="1"/>
                <c:pt idx="0">
                  <c:v>CEEW Estimates</c:v>
                </c:pt>
              </c:strCache>
            </c:strRef>
          </c:tx>
          <c:spPr>
            <a:solidFill>
              <a:schemeClr val="accent1"/>
            </a:solidFill>
            <a:ln>
              <a:noFill/>
            </a:ln>
            <a:effectLst/>
          </c:spPr>
          <c:invertIfNegative val="0"/>
          <c:cat>
            <c:strRef>
              <c:f>'5'!$B$5:$B$7</c:f>
              <c:strCache>
                <c:ptCount val="3"/>
                <c:pt idx="0">
                  <c:v>2007*</c:v>
                </c:pt>
                <c:pt idx="1">
                  <c:v>2010*</c:v>
                </c:pt>
                <c:pt idx="2">
                  <c:v>2014^</c:v>
                </c:pt>
              </c:strCache>
            </c:strRef>
          </c:cat>
          <c:val>
            <c:numRef>
              <c:f>'5'!$C$5:$C$7</c:f>
              <c:numCache>
                <c:formatCode>0</c:formatCode>
                <c:ptCount val="3"/>
                <c:pt idx="0">
                  <c:v>358.33311882120495</c:v>
                </c:pt>
                <c:pt idx="1">
                  <c:v>478.49389756240794</c:v>
                </c:pt>
                <c:pt idx="2">
                  <c:v>615.12524817150495</c:v>
                </c:pt>
              </c:numCache>
            </c:numRef>
          </c:val>
          <c:extLst>
            <c:ext xmlns:c16="http://schemas.microsoft.com/office/drawing/2014/chart" uri="{C3380CC4-5D6E-409C-BE32-E72D297353CC}">
              <c16:uniqueId val="{00000000-BAE0-4844-944F-55D7F4303B8B}"/>
            </c:ext>
          </c:extLst>
        </c:ser>
        <c:ser>
          <c:idx val="1"/>
          <c:order val="1"/>
          <c:tx>
            <c:strRef>
              <c:f>'5'!$D$4</c:f>
              <c:strCache>
                <c:ptCount val="1"/>
                <c:pt idx="0">
                  <c:v>INCCA Estimates</c:v>
                </c:pt>
              </c:strCache>
            </c:strRef>
          </c:tx>
          <c:spPr>
            <a:solidFill>
              <a:schemeClr val="accent2"/>
            </a:solidFill>
            <a:ln>
              <a:noFill/>
            </a:ln>
            <a:effectLst/>
          </c:spPr>
          <c:invertIfNegative val="0"/>
          <c:cat>
            <c:strRef>
              <c:f>'5'!$B$5:$B$7</c:f>
              <c:strCache>
                <c:ptCount val="3"/>
                <c:pt idx="0">
                  <c:v>2007*</c:v>
                </c:pt>
                <c:pt idx="1">
                  <c:v>2010*</c:v>
                </c:pt>
                <c:pt idx="2">
                  <c:v>2014^</c:v>
                </c:pt>
              </c:strCache>
            </c:strRef>
          </c:cat>
          <c:val>
            <c:numRef>
              <c:f>'5'!$D$5:$D$7</c:f>
              <c:numCache>
                <c:formatCode>General</c:formatCode>
                <c:ptCount val="3"/>
                <c:pt idx="0" formatCode="0">
                  <c:v>446.39166</c:v>
                </c:pt>
              </c:numCache>
            </c:numRef>
          </c:val>
          <c:extLst>
            <c:ext xmlns:c16="http://schemas.microsoft.com/office/drawing/2014/chart" uri="{C3380CC4-5D6E-409C-BE32-E72D297353CC}">
              <c16:uniqueId val="{00000001-BAE0-4844-944F-55D7F4303B8B}"/>
            </c:ext>
          </c:extLst>
        </c:ser>
        <c:ser>
          <c:idx val="2"/>
          <c:order val="2"/>
          <c:tx>
            <c:strRef>
              <c:f>'5'!$E$4</c:f>
              <c:strCache>
                <c:ptCount val="1"/>
                <c:pt idx="0">
                  <c:v>BUR 1 *</c:v>
                </c:pt>
              </c:strCache>
            </c:strRef>
          </c:tx>
          <c:spPr>
            <a:solidFill>
              <a:schemeClr val="accent3"/>
            </a:solidFill>
            <a:ln>
              <a:noFill/>
            </a:ln>
            <a:effectLst/>
          </c:spPr>
          <c:invertIfNegative val="0"/>
          <c:cat>
            <c:strRef>
              <c:f>'5'!$B$5:$B$7</c:f>
              <c:strCache>
                <c:ptCount val="3"/>
                <c:pt idx="0">
                  <c:v>2007*</c:v>
                </c:pt>
                <c:pt idx="1">
                  <c:v>2010*</c:v>
                </c:pt>
                <c:pt idx="2">
                  <c:v>2014^</c:v>
                </c:pt>
              </c:strCache>
            </c:strRef>
          </c:cat>
          <c:val>
            <c:numRef>
              <c:f>'5'!$E$5:$E$7</c:f>
              <c:numCache>
                <c:formatCode>0</c:formatCode>
                <c:ptCount val="3"/>
                <c:pt idx="1">
                  <c:v>511.26213000000007</c:v>
                </c:pt>
              </c:numCache>
            </c:numRef>
          </c:val>
          <c:extLst>
            <c:ext xmlns:c16="http://schemas.microsoft.com/office/drawing/2014/chart" uri="{C3380CC4-5D6E-409C-BE32-E72D297353CC}">
              <c16:uniqueId val="{00000002-BAE0-4844-944F-55D7F4303B8B}"/>
            </c:ext>
          </c:extLst>
        </c:ser>
        <c:ser>
          <c:idx val="3"/>
          <c:order val="3"/>
          <c:tx>
            <c:strRef>
              <c:f>'5'!$F$4</c:f>
              <c:strCache>
                <c:ptCount val="1"/>
                <c:pt idx="0">
                  <c:v>BUR 2 ^</c:v>
                </c:pt>
              </c:strCache>
            </c:strRef>
          </c:tx>
          <c:spPr>
            <a:solidFill>
              <a:schemeClr val="accent4"/>
            </a:solidFill>
            <a:ln>
              <a:noFill/>
            </a:ln>
            <a:effectLst/>
          </c:spPr>
          <c:invertIfNegative val="0"/>
          <c:cat>
            <c:strRef>
              <c:f>'5'!$B$5:$B$7</c:f>
              <c:strCache>
                <c:ptCount val="3"/>
                <c:pt idx="0">
                  <c:v>2007*</c:v>
                </c:pt>
                <c:pt idx="1">
                  <c:v>2010*</c:v>
                </c:pt>
                <c:pt idx="2">
                  <c:v>2014^</c:v>
                </c:pt>
              </c:strCache>
            </c:strRef>
          </c:cat>
          <c:val>
            <c:numRef>
              <c:f>'5'!$F$5:$F$7</c:f>
              <c:numCache>
                <c:formatCode>0</c:formatCode>
                <c:ptCount val="3"/>
                <c:pt idx="2">
                  <c:v>593.49059999999997</c:v>
                </c:pt>
              </c:numCache>
            </c:numRef>
          </c:val>
          <c:extLst>
            <c:ext xmlns:c16="http://schemas.microsoft.com/office/drawing/2014/chart" uri="{C3380CC4-5D6E-409C-BE32-E72D297353CC}">
              <c16:uniqueId val="{00000003-BAE0-4844-944F-55D7F4303B8B}"/>
            </c:ext>
          </c:extLst>
        </c:ser>
        <c:dLbls>
          <c:showLegendKey val="0"/>
          <c:showVal val="0"/>
          <c:showCatName val="0"/>
          <c:showSerName val="0"/>
          <c:showPercent val="0"/>
          <c:showBubbleSize val="0"/>
        </c:dLbls>
        <c:gapWidth val="358"/>
        <c:overlap val="43"/>
        <c:axId val="1727504416"/>
        <c:axId val="1500898864"/>
      </c:barChart>
      <c:catAx>
        <c:axId val="172750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0898864"/>
        <c:crosses val="autoZero"/>
        <c:auto val="1"/>
        <c:lblAlgn val="ctr"/>
        <c:lblOffset val="100"/>
        <c:noMultiLvlLbl val="0"/>
      </c:catAx>
      <c:valAx>
        <c:axId val="1500898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Million</a:t>
                </a:r>
                <a:r>
                  <a:rPr lang="en-IN" baseline="0"/>
                  <a:t> Tonnes CO2eq AR-2</a:t>
                </a:r>
                <a:endParaRPr lang="en-IN"/>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750441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spPr>
      <a:ln w="9525" cap="flat" cmpd="sng" algn="ctr">
        <a:solidFill>
          <a:schemeClr val="tx2">
            <a:lumMod val="40000"/>
            <a:lumOff val="60000"/>
          </a:schemeClr>
        </a:solidFill>
        <a:round/>
      </a:ln>
    </cs:spPr>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ceew.in/" TargetMode="External"/><Relationship Id="rId2" Type="http://schemas.openxmlformats.org/officeDocument/2006/relationships/hyperlink" Target="http://ghgplatform-india.org/" TargetMode="External"/><Relationship Id="rId1" Type="http://schemas.openxmlformats.org/officeDocument/2006/relationships/image" Target="../media/image1.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1467</xdr:colOff>
      <xdr:row>7</xdr:row>
      <xdr:rowOff>60254</xdr:rowOff>
    </xdr:to>
    <xdr:pic>
      <xdr:nvPicPr>
        <xdr:cNvPr id="2" name="Picture 1">
          <a:extLst>
            <a:ext uri="{FF2B5EF4-FFF2-40B4-BE49-F238E27FC236}">
              <a16:creationId xmlns:a16="http://schemas.microsoft.com/office/drawing/2014/main" id="{399DEBC5-E1DC-4C2B-A318-7A90351F0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0"/>
          <a:ext cx="1467" cy="574604"/>
        </a:xfrm>
        <a:prstGeom prst="rect">
          <a:avLst/>
        </a:prstGeom>
      </xdr:spPr>
    </xdr:pic>
    <xdr:clientData/>
  </xdr:twoCellAnchor>
  <xdr:twoCellAnchor editAs="oneCell">
    <xdr:from>
      <xdr:col>1</xdr:col>
      <xdr:colOff>1519465</xdr:colOff>
      <xdr:row>1</xdr:row>
      <xdr:rowOff>124733</xdr:rowOff>
    </xdr:from>
    <xdr:to>
      <xdr:col>1</xdr:col>
      <xdr:colOff>3189515</xdr:colOff>
      <xdr:row>5</xdr:row>
      <xdr:rowOff>159204</xdr:rowOff>
    </xdr:to>
    <xdr:pic>
      <xdr:nvPicPr>
        <xdr:cNvPr id="3" name="Picture 2">
          <a:hlinkClick xmlns:r="http://schemas.openxmlformats.org/officeDocument/2006/relationships" r:id="rId2"/>
          <a:extLst>
            <a:ext uri="{FF2B5EF4-FFF2-40B4-BE49-F238E27FC236}">
              <a16:creationId xmlns:a16="http://schemas.microsoft.com/office/drawing/2014/main" id="{93EE2E9F-0B72-4F3D-805E-E9156DEEF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0015" y="372383"/>
          <a:ext cx="1708150" cy="967921"/>
        </a:xfrm>
        <a:prstGeom prst="rect">
          <a:avLst/>
        </a:prstGeom>
      </xdr:spPr>
    </xdr:pic>
    <xdr:clientData/>
  </xdr:twoCellAnchor>
  <xdr:twoCellAnchor>
    <xdr:from>
      <xdr:col>2</xdr:col>
      <xdr:colOff>0</xdr:colOff>
      <xdr:row>0</xdr:row>
      <xdr:rowOff>217715</xdr:rowOff>
    </xdr:from>
    <xdr:to>
      <xdr:col>2</xdr:col>
      <xdr:colOff>0</xdr:colOff>
      <xdr:row>5</xdr:row>
      <xdr:rowOff>136072</xdr:rowOff>
    </xdr:to>
    <xdr:cxnSp macro="">
      <xdr:nvCxnSpPr>
        <xdr:cNvPr id="4" name="Straight Connector 3">
          <a:extLst>
            <a:ext uri="{FF2B5EF4-FFF2-40B4-BE49-F238E27FC236}">
              <a16:creationId xmlns:a16="http://schemas.microsoft.com/office/drawing/2014/main" id="{E44F57A6-767A-4355-A0FA-D692A06321AA}"/>
            </a:ext>
          </a:extLst>
        </xdr:cNvPr>
        <xdr:cNvCxnSpPr/>
      </xdr:nvCxnSpPr>
      <xdr:spPr>
        <a:xfrm>
          <a:off x="4124325" y="217715"/>
          <a:ext cx="0" cy="115660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40822</xdr:colOff>
      <xdr:row>0</xdr:row>
      <xdr:rowOff>176893</xdr:rowOff>
    </xdr:from>
    <xdr:to>
      <xdr:col>2</xdr:col>
      <xdr:colOff>1973037</xdr:colOff>
      <xdr:row>5</xdr:row>
      <xdr:rowOff>195975</xdr:rowOff>
    </xdr:to>
    <xdr:pic>
      <xdr:nvPicPr>
        <xdr:cNvPr id="7" name="Picture 6">
          <a:hlinkClick xmlns:r="http://schemas.openxmlformats.org/officeDocument/2006/relationships" r:id="rId3"/>
          <a:extLst>
            <a:ext uri="{FF2B5EF4-FFF2-40B4-BE49-F238E27FC236}">
              <a16:creationId xmlns:a16="http://schemas.microsoft.com/office/drawing/2014/main" id="{8D8DA2BE-0B42-498B-914A-0335945ADD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63786" y="176893"/>
          <a:ext cx="1932215" cy="1243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484414</xdr:colOff>
      <xdr:row>2</xdr:row>
      <xdr:rowOff>47625</xdr:rowOff>
    </xdr:from>
    <xdr:to>
      <xdr:col>23</xdr:col>
      <xdr:colOff>32658</xdr:colOff>
      <xdr:row>34</xdr:row>
      <xdr:rowOff>95250</xdr:rowOff>
    </xdr:to>
    <xdr:graphicFrame macro="">
      <xdr:nvGraphicFramePr>
        <xdr:cNvPr id="5" name="Chart 4">
          <a:extLst>
            <a:ext uri="{FF2B5EF4-FFF2-40B4-BE49-F238E27FC236}">
              <a16:creationId xmlns:a16="http://schemas.microsoft.com/office/drawing/2014/main" id="{23551ED6-CA85-4E0A-ABEB-0A415C124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2</xdr:row>
      <xdr:rowOff>90487</xdr:rowOff>
    </xdr:from>
    <xdr:to>
      <xdr:col>17</xdr:col>
      <xdr:colOff>38099</xdr:colOff>
      <xdr:row>13</xdr:row>
      <xdr:rowOff>19050</xdr:rowOff>
    </xdr:to>
    <xdr:graphicFrame macro="">
      <xdr:nvGraphicFramePr>
        <xdr:cNvPr id="2" name="Chart 1">
          <a:extLst>
            <a:ext uri="{FF2B5EF4-FFF2-40B4-BE49-F238E27FC236}">
              <a16:creationId xmlns:a16="http://schemas.microsoft.com/office/drawing/2014/main" id="{C55BD34C-3433-4383-BE0B-9FEB820168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epa%20Janakiraman\Downloads\CEEW%20-%20Workbook%203_Consolidated(V4.0)%202No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eference"/>
      <sheetName val="1"/>
      <sheetName val="2"/>
      <sheetName val="3"/>
      <sheetName val="4"/>
      <sheetName val="5"/>
      <sheetName val="6"/>
      <sheetName val="7"/>
      <sheetName val="8"/>
    </sheetNames>
    <sheetDataSet>
      <sheetData sheetId="0"/>
      <sheetData sheetId="1"/>
      <sheetData sheetId="2"/>
      <sheetData sheetId="3"/>
      <sheetData sheetId="4" refreshError="1"/>
      <sheetData sheetId="5"/>
      <sheetData sheetId="6"/>
      <sheetData sheetId="7"/>
      <sheetData sheetId="8">
        <row r="5">
          <cell r="A5" t="str">
            <v>2A1</v>
          </cell>
          <cell r="B5">
            <v>54026130</v>
          </cell>
          <cell r="C5">
            <v>59822200</v>
          </cell>
          <cell r="D5">
            <v>63013360</v>
          </cell>
          <cell r="E5">
            <v>67785330</v>
          </cell>
          <cell r="F5">
            <v>74403028</v>
          </cell>
          <cell r="G5">
            <v>82138760.799999997</v>
          </cell>
          <cell r="H5">
            <v>86498457.099999994</v>
          </cell>
          <cell r="I5">
            <v>92144699.5</v>
          </cell>
          <cell r="J5">
            <v>93985128.109999999</v>
          </cell>
          <cell r="K5">
            <v>102366611.40000001</v>
          </cell>
        </row>
        <row r="6">
          <cell r="A6" t="str">
            <v>2A2</v>
          </cell>
          <cell r="B6">
            <v>921509.4</v>
          </cell>
          <cell r="C6">
            <v>671255.1</v>
          </cell>
          <cell r="D6">
            <v>855789.2</v>
          </cell>
          <cell r="E6">
            <v>1129213</v>
          </cell>
          <cell r="F6">
            <v>928059.6</v>
          </cell>
          <cell r="G6">
            <v>1031572</v>
          </cell>
          <cell r="H6">
            <v>1016448</v>
          </cell>
          <cell r="I6">
            <v>957535.7</v>
          </cell>
          <cell r="J6"/>
          <cell r="K6">
            <v>2401090</v>
          </cell>
        </row>
        <row r="7">
          <cell r="A7" t="str">
            <v>2A3</v>
          </cell>
          <cell r="B7">
            <v>417576.6</v>
          </cell>
          <cell r="C7">
            <v>292363.3</v>
          </cell>
          <cell r="D7">
            <v>766044.1</v>
          </cell>
          <cell r="E7">
            <v>301702.7</v>
          </cell>
          <cell r="F7">
            <v>198484</v>
          </cell>
          <cell r="G7">
            <v>179664.3</v>
          </cell>
          <cell r="H7">
            <v>3879795</v>
          </cell>
          <cell r="I7">
            <v>395844.6</v>
          </cell>
          <cell r="J7"/>
          <cell r="K7">
            <v>1292791</v>
          </cell>
        </row>
        <row r="8">
          <cell r="A8" t="str">
            <v>2A4a</v>
          </cell>
          <cell r="B8">
            <v>223.53379999999999</v>
          </cell>
          <cell r="C8">
            <v>1.9002110000000001</v>
          </cell>
          <cell r="D8">
            <v>350.81727100000001</v>
          </cell>
          <cell r="E8">
            <v>140979.81623</v>
          </cell>
          <cell r="F8">
            <v>116306.15500000001</v>
          </cell>
          <cell r="G8">
            <v>60033.147000000004</v>
          </cell>
          <cell r="H8">
            <v>4596.8019599999998</v>
          </cell>
          <cell r="I8">
            <v>40743.930799999995</v>
          </cell>
          <cell r="J8">
            <v>5921.5182999999997</v>
          </cell>
          <cell r="K8">
            <v>196014.18800000002</v>
          </cell>
        </row>
        <row r="9">
          <cell r="A9" t="str">
            <v>2A4b</v>
          </cell>
          <cell r="B9">
            <v>50671.849900000001</v>
          </cell>
          <cell r="C9">
            <v>58326.717599999996</v>
          </cell>
          <cell r="D9">
            <v>67597.879000000001</v>
          </cell>
          <cell r="E9">
            <v>75105.913</v>
          </cell>
          <cell r="F9">
            <v>49784.6</v>
          </cell>
          <cell r="G9">
            <v>62649.726000000002</v>
          </cell>
          <cell r="H9">
            <v>81729.28764000001</v>
          </cell>
          <cell r="I9">
            <v>77460.679999999993</v>
          </cell>
          <cell r="J9">
            <v>119766.49701000001</v>
          </cell>
          <cell r="K9">
            <v>93420.533280000003</v>
          </cell>
        </row>
        <row r="10">
          <cell r="A10" t="str">
            <v>2A4c</v>
          </cell>
          <cell r="B10">
            <v>99.748459999999994</v>
          </cell>
          <cell r="C10">
            <v>388.86759999999998</v>
          </cell>
          <cell r="D10">
            <v>2954.067</v>
          </cell>
          <cell r="E10">
            <v>51894.875999999997</v>
          </cell>
          <cell r="F10">
            <v>487.14443</v>
          </cell>
          <cell r="G10">
            <v>513.619462</v>
          </cell>
          <cell r="H10">
            <v>71.975539999999995</v>
          </cell>
          <cell r="I10">
            <v>4.9587149999999998</v>
          </cell>
          <cell r="J10">
            <v>1539.81176</v>
          </cell>
          <cell r="K10">
            <v>2580.2799699999996</v>
          </cell>
        </row>
        <row r="11">
          <cell r="A11" t="str">
            <v>2A4d</v>
          </cell>
          <cell r="B11">
            <v>7087.4560000000001</v>
          </cell>
          <cell r="C11">
            <v>6970.54</v>
          </cell>
          <cell r="D11">
            <v>4003.317</v>
          </cell>
          <cell r="E11">
            <v>7974.9939999999997</v>
          </cell>
          <cell r="F11">
            <v>8056.3320000000003</v>
          </cell>
          <cell r="G11">
            <v>8916.4040000000005</v>
          </cell>
          <cell r="H11">
            <v>9860.1769999999997</v>
          </cell>
          <cell r="I11">
            <v>7849.1869999999999</v>
          </cell>
          <cell r="J11">
            <v>2081.654</v>
          </cell>
          <cell r="K11">
            <v>6295.5860000000002</v>
          </cell>
        </row>
        <row r="12">
          <cell r="A12" t="str">
            <v>2B1</v>
          </cell>
          <cell r="B12">
            <v>20900000</v>
          </cell>
          <cell r="C12">
            <v>20700000</v>
          </cell>
          <cell r="D12">
            <v>20200000</v>
          </cell>
          <cell r="E12">
            <v>20200000</v>
          </cell>
          <cell r="F12">
            <v>20300000</v>
          </cell>
          <cell r="G12">
            <v>21700000</v>
          </cell>
          <cell r="H12">
            <v>22600000</v>
          </cell>
          <cell r="I12">
            <v>23400000</v>
          </cell>
          <cell r="J12">
            <v>23200000</v>
          </cell>
          <cell r="K12">
            <v>23500000</v>
          </cell>
        </row>
        <row r="13">
          <cell r="A13" t="str">
            <v>2B2</v>
          </cell>
          <cell r="B13">
            <v>410383.8</v>
          </cell>
          <cell r="C13">
            <v>416078.5</v>
          </cell>
          <cell r="D13">
            <v>245453.9</v>
          </cell>
          <cell r="E13">
            <v>496645.5</v>
          </cell>
          <cell r="F13">
            <v>638251.1</v>
          </cell>
          <cell r="G13">
            <v>589822.80000000005</v>
          </cell>
          <cell r="H13">
            <v>1335864</v>
          </cell>
          <cell r="I13">
            <v>2217946</v>
          </cell>
          <cell r="J13"/>
          <cell r="K13">
            <v>659.84799999999996</v>
          </cell>
        </row>
        <row r="14">
          <cell r="A14" t="str">
            <v>2B4</v>
          </cell>
          <cell r="B14">
            <v>340380</v>
          </cell>
          <cell r="C14">
            <v>326430</v>
          </cell>
          <cell r="D14">
            <v>239940</v>
          </cell>
          <cell r="E14">
            <v>239940</v>
          </cell>
          <cell r="F14">
            <v>234360</v>
          </cell>
          <cell r="G14">
            <v>343170</v>
          </cell>
          <cell r="H14">
            <v>343170</v>
          </cell>
          <cell r="I14">
            <v>329220</v>
          </cell>
          <cell r="J14">
            <v>276210</v>
          </cell>
          <cell r="K14">
            <v>237150</v>
          </cell>
        </row>
        <row r="15">
          <cell r="A15" t="str">
            <v>2B5</v>
          </cell>
          <cell r="B15">
            <v>58003</v>
          </cell>
          <cell r="C15">
            <v>71104</v>
          </cell>
          <cell r="D15">
            <v>107151</v>
          </cell>
          <cell r="E15">
            <v>107151</v>
          </cell>
          <cell r="F15">
            <v>73205</v>
          </cell>
          <cell r="G15">
            <v>24222</v>
          </cell>
          <cell r="H15">
            <v>49170</v>
          </cell>
          <cell r="I15">
            <v>73029</v>
          </cell>
          <cell r="J15">
            <v>78078</v>
          </cell>
          <cell r="K15">
            <v>86658</v>
          </cell>
        </row>
        <row r="16">
          <cell r="A16" t="str">
            <v>2B6</v>
          </cell>
          <cell r="B16">
            <v>79720.600000000006</v>
          </cell>
          <cell r="C16">
            <v>83501.649999999994</v>
          </cell>
          <cell r="D16">
            <v>81922.75</v>
          </cell>
          <cell r="E16">
            <v>81922.75</v>
          </cell>
          <cell r="F16">
            <v>73792.800000000003</v>
          </cell>
          <cell r="G16">
            <v>84928.2</v>
          </cell>
          <cell r="H16">
            <v>88667.7</v>
          </cell>
          <cell r="I16">
            <v>72213.899999999994</v>
          </cell>
          <cell r="J16">
            <v>69443.899999999994</v>
          </cell>
          <cell r="K16">
            <v>73100.3</v>
          </cell>
        </row>
        <row r="17">
          <cell r="A17" t="str">
            <v>2B7</v>
          </cell>
          <cell r="B17">
            <v>315639.09999999998</v>
          </cell>
          <cell r="C17">
            <v>317157.09999999998</v>
          </cell>
          <cell r="D17">
            <v>276760.40000000002</v>
          </cell>
          <cell r="E17">
            <v>276760.40000000002</v>
          </cell>
          <cell r="F17">
            <v>274488.90000000002</v>
          </cell>
          <cell r="G17">
            <v>284050.90000000002</v>
          </cell>
          <cell r="H17">
            <v>317228.90000000002</v>
          </cell>
          <cell r="I17">
            <v>332693.2</v>
          </cell>
          <cell r="J17">
            <v>336415</v>
          </cell>
          <cell r="K17">
            <v>330119.5</v>
          </cell>
        </row>
        <row r="18">
          <cell r="A18" t="str">
            <v>2B8a</v>
          </cell>
          <cell r="B18">
            <v>452206.6</v>
          </cell>
          <cell r="C18">
            <v>445934.3</v>
          </cell>
          <cell r="D18">
            <v>405544.7</v>
          </cell>
          <cell r="E18">
            <v>405544.7</v>
          </cell>
          <cell r="F18">
            <v>273399.40000000002</v>
          </cell>
          <cell r="G18">
            <v>381447</v>
          </cell>
          <cell r="H18">
            <v>431833.1</v>
          </cell>
          <cell r="I18">
            <v>414999.3</v>
          </cell>
          <cell r="J18">
            <v>293911.2</v>
          </cell>
          <cell r="K18">
            <v>354270.8</v>
          </cell>
        </row>
        <row r="19">
          <cell r="A19" t="str">
            <v>2B8b</v>
          </cell>
          <cell r="B19">
            <v>4742485</v>
          </cell>
          <cell r="C19">
            <v>4875167</v>
          </cell>
          <cell r="D19">
            <v>5038330</v>
          </cell>
          <cell r="E19">
            <v>5038330</v>
          </cell>
          <cell r="F19">
            <v>4731727</v>
          </cell>
          <cell r="G19">
            <v>4509395</v>
          </cell>
          <cell r="H19">
            <v>4778345</v>
          </cell>
          <cell r="I19">
            <v>5952760</v>
          </cell>
          <cell r="J19">
            <v>5943795</v>
          </cell>
          <cell r="K19">
            <v>5999378</v>
          </cell>
        </row>
        <row r="20">
          <cell r="A20" t="str">
            <v>2B8c</v>
          </cell>
          <cell r="B20">
            <v>455473.9</v>
          </cell>
          <cell r="C20">
            <v>237225.7</v>
          </cell>
          <cell r="D20">
            <v>228577.9</v>
          </cell>
          <cell r="E20">
            <v>228577.9</v>
          </cell>
          <cell r="F20">
            <v>238782.4</v>
          </cell>
          <cell r="G20">
            <v>480488</v>
          </cell>
          <cell r="H20">
            <v>482117.1</v>
          </cell>
          <cell r="I20">
            <v>485289.9</v>
          </cell>
          <cell r="J20">
            <v>439716.7</v>
          </cell>
          <cell r="K20">
            <v>462621.1</v>
          </cell>
        </row>
        <row r="21">
          <cell r="A21" t="str">
            <v>2B8d</v>
          </cell>
          <cell r="B21">
            <v>3037787</v>
          </cell>
          <cell r="C21">
            <v>3383864</v>
          </cell>
          <cell r="D21">
            <v>4383642</v>
          </cell>
          <cell r="E21">
            <v>4383642</v>
          </cell>
          <cell r="F21">
            <v>4499001</v>
          </cell>
          <cell r="G21">
            <v>5921762</v>
          </cell>
          <cell r="H21">
            <v>6306292</v>
          </cell>
          <cell r="I21">
            <v>6498557</v>
          </cell>
          <cell r="J21">
            <v>6613916</v>
          </cell>
          <cell r="K21">
            <v>7344523</v>
          </cell>
        </row>
        <row r="22">
          <cell r="A22" t="str">
            <v>2B8e</v>
          </cell>
          <cell r="B22">
            <v>186420</v>
          </cell>
          <cell r="C22">
            <v>157740</v>
          </cell>
          <cell r="D22">
            <v>186420</v>
          </cell>
          <cell r="E22">
            <v>186420</v>
          </cell>
          <cell r="F22">
            <v>143400</v>
          </cell>
          <cell r="G22">
            <v>186420</v>
          </cell>
          <cell r="H22">
            <v>181640</v>
          </cell>
          <cell r="I22">
            <v>181640</v>
          </cell>
          <cell r="J22">
            <v>157740</v>
          </cell>
          <cell r="K22">
            <v>176860</v>
          </cell>
        </row>
        <row r="23">
          <cell r="A23" t="str">
            <v>2B8f</v>
          </cell>
          <cell r="B23">
            <v>1479289</v>
          </cell>
          <cell r="C23">
            <v>1532988</v>
          </cell>
          <cell r="D23">
            <v>1656605</v>
          </cell>
          <cell r="E23">
            <v>1656605</v>
          </cell>
          <cell r="F23">
            <v>1441032</v>
          </cell>
          <cell r="G23">
            <v>1627388</v>
          </cell>
          <cell r="H23">
            <v>1755467</v>
          </cell>
          <cell r="I23">
            <v>1736960</v>
          </cell>
          <cell r="J23">
            <v>1567598</v>
          </cell>
          <cell r="K23">
            <v>1576871</v>
          </cell>
        </row>
        <row r="24">
          <cell r="A24" t="str">
            <v>2C1</v>
          </cell>
          <cell r="B24">
            <v>4017791.1900000004</v>
          </cell>
          <cell r="C24">
            <v>5745916.3000000007</v>
          </cell>
          <cell r="D24">
            <v>5656628.8799999999</v>
          </cell>
          <cell r="E24">
            <v>5448228.9900000002</v>
          </cell>
          <cell r="F24">
            <v>6972964.2999999998</v>
          </cell>
          <cell r="G24">
            <v>6170619.1200000001</v>
          </cell>
          <cell r="H24">
            <v>6794333.926</v>
          </cell>
          <cell r="I24">
            <v>16100473.544</v>
          </cell>
          <cell r="J24">
            <v>12726724.2607</v>
          </cell>
          <cell r="K24">
            <v>6447497.3399999999</v>
          </cell>
        </row>
        <row r="25">
          <cell r="A25" t="str">
            <v>2C2</v>
          </cell>
          <cell r="B25"/>
          <cell r="C25"/>
          <cell r="D25"/>
          <cell r="E25"/>
          <cell r="F25"/>
          <cell r="G25"/>
          <cell r="H25"/>
          <cell r="I25"/>
          <cell r="J25"/>
          <cell r="K25"/>
        </row>
        <row r="26">
          <cell r="A26" t="str">
            <v>2C3</v>
          </cell>
          <cell r="B26">
            <v>1421970</v>
          </cell>
          <cell r="C26">
            <v>1481865</v>
          </cell>
          <cell r="D26">
            <v>1902450</v>
          </cell>
          <cell r="E26">
            <v>2041050</v>
          </cell>
          <cell r="F26">
            <v>2222139</v>
          </cell>
          <cell r="G26">
            <v>2547600</v>
          </cell>
          <cell r="H26">
            <v>2674704</v>
          </cell>
          <cell r="I26">
            <v>2729357</v>
          </cell>
          <cell r="J26">
            <v>2838705</v>
          </cell>
          <cell r="K26">
            <v>2751045</v>
          </cell>
        </row>
        <row r="27">
          <cell r="A27" t="str">
            <v>2C5</v>
          </cell>
          <cell r="B27">
            <v>8141.64</v>
          </cell>
          <cell r="C27">
            <v>12384.84</v>
          </cell>
          <cell r="D27">
            <v>23206.04</v>
          </cell>
          <cell r="E27">
            <v>30287.919999999998</v>
          </cell>
          <cell r="F27">
            <v>31367.96</v>
          </cell>
          <cell r="G27">
            <v>33445.879999999997</v>
          </cell>
          <cell r="H27">
            <v>29792.880000000001</v>
          </cell>
          <cell r="I27">
            <v>47892</v>
          </cell>
          <cell r="J27">
            <v>61524.84</v>
          </cell>
          <cell r="K27">
            <v>63749.4</v>
          </cell>
        </row>
        <row r="28">
          <cell r="A28" t="str">
            <v>2C6</v>
          </cell>
          <cell r="B28">
            <v>126670</v>
          </cell>
          <cell r="C28">
            <v>156880</v>
          </cell>
          <cell r="D28">
            <v>201900.9</v>
          </cell>
          <cell r="E28">
            <v>242859.8</v>
          </cell>
          <cell r="F28">
            <v>308548.5</v>
          </cell>
          <cell r="G28">
            <v>325294.40000000002</v>
          </cell>
          <cell r="H28">
            <v>392413.1</v>
          </cell>
          <cell r="I28">
            <v>415332.9</v>
          </cell>
          <cell r="J28">
            <v>373240.8</v>
          </cell>
          <cell r="K28">
            <v>406260.9</v>
          </cell>
        </row>
        <row r="29">
          <cell r="A29" t="str">
            <v>2C7</v>
          </cell>
          <cell r="B29">
            <v>12440.286999999998</v>
          </cell>
          <cell r="C29">
            <v>9730.6029999999992</v>
          </cell>
          <cell r="D29">
            <v>27454.92</v>
          </cell>
          <cell r="E29"/>
          <cell r="F29">
            <v>617.89499999999998</v>
          </cell>
          <cell r="G29"/>
          <cell r="H29">
            <v>521.32060000000001</v>
          </cell>
          <cell r="I29"/>
          <cell r="J29">
            <v>169.0342</v>
          </cell>
          <cell r="K29"/>
        </row>
        <row r="30">
          <cell r="A30" t="str">
            <v>2D1</v>
          </cell>
          <cell r="B30">
            <v>605979</v>
          </cell>
          <cell r="C30">
            <v>1327580</v>
          </cell>
          <cell r="D30">
            <v>690681.7</v>
          </cell>
          <cell r="E30">
            <v>1348424</v>
          </cell>
          <cell r="F30">
            <v>512501</v>
          </cell>
          <cell r="G30">
            <v>485148.1</v>
          </cell>
          <cell r="H30">
            <v>1871436</v>
          </cell>
          <cell r="I30">
            <v>1727517</v>
          </cell>
          <cell r="J30">
            <v>1841746</v>
          </cell>
          <cell r="K30">
            <v>1506723</v>
          </cell>
        </row>
        <row r="31">
          <cell r="A31" t="str">
            <v>2D2</v>
          </cell>
          <cell r="B31">
            <v>1966233</v>
          </cell>
          <cell r="C31">
            <v>2088194</v>
          </cell>
          <cell r="D31">
            <v>2207684</v>
          </cell>
          <cell r="E31">
            <v>2345964</v>
          </cell>
          <cell r="F31">
            <v>2508947</v>
          </cell>
          <cell r="G31">
            <v>2704507</v>
          </cell>
          <cell r="H31">
            <v>2725117</v>
          </cell>
          <cell r="I31">
            <v>2781752</v>
          </cell>
          <cell r="J31">
            <v>2880036</v>
          </cell>
          <cell r="K31">
            <v>2914342</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vaibhav.gupta@ceew.in?subject=GHG%20Platform%20India:%20Query%20on%20manufacturing%20sector%20emission%20estimates"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www.mcxindia.com/downloads/overview/PDF/2010/Non-Agricultural/Aluminium.pdf" TargetMode="External"/><Relationship Id="rId18" Type="http://schemas.openxmlformats.org/officeDocument/2006/relationships/hyperlink" Target="http://www.cmaindia.org/activities/Publications-and-Periodicals.html" TargetMode="External"/><Relationship Id="rId26" Type="http://schemas.openxmlformats.org/officeDocument/2006/relationships/hyperlink" Target="http://ibm.nic.in/writereaddata/files/05222018175003Aluminiumandalumina2016.pdf" TargetMode="External"/><Relationship Id="rId3" Type="http://schemas.openxmlformats.org/officeDocument/2006/relationships/hyperlink" Target="http://ibm.nic.in/writereaddata/files/01192015114407IMYB_2013_Vol%20III_Cement%202013.pdf" TargetMode="External"/><Relationship Id="rId21" Type="http://schemas.openxmlformats.org/officeDocument/2006/relationships/hyperlink" Target="http://ibm.nic.in/writereaddata/files/05312016123734Final_IMYB-Lead%20&amp;%20Zinc-2014-.pdf" TargetMode="External"/><Relationship Id="rId34" Type="http://schemas.openxmlformats.org/officeDocument/2006/relationships/hyperlink" Target="http://chemicals.nic.in/document-report/reports" TargetMode="External"/><Relationship Id="rId7" Type="http://schemas.openxmlformats.org/officeDocument/2006/relationships/hyperlink" Target="http://ibm.nic.in/writereaddata/files/01192015114407IMYB_2013_Vol%20III_Cement%202013.pdf" TargetMode="External"/><Relationship Id="rId12" Type="http://schemas.openxmlformats.org/officeDocument/2006/relationships/hyperlink" Target="http://ibm.nic.in/writereaddata/files/05282015122910Aluminium%20&amp;%20Alumina_2013.pdf" TargetMode="External"/><Relationship Id="rId17" Type="http://schemas.openxmlformats.org/officeDocument/2006/relationships/hyperlink" Target="http://www.cmaindia.org/activities/Publications-and-Periodicals.html" TargetMode="External"/><Relationship Id="rId25" Type="http://schemas.openxmlformats.org/officeDocument/2006/relationships/hyperlink" Target="http://ibm.nic.in/writereaddata/files/03162018165514CEMENT_AR_2017.pdf" TargetMode="External"/><Relationship Id="rId33" Type="http://schemas.openxmlformats.org/officeDocument/2006/relationships/hyperlink" Target="http://chemicals.nic.in/document-report/reports" TargetMode="External"/><Relationship Id="rId2" Type="http://schemas.openxmlformats.org/officeDocument/2006/relationships/hyperlink" Target="http://ibm.nic.in/writereaddata/files/01192015114407IMYB_2013_Vol%20III_Cement%202013.pdf" TargetMode="External"/><Relationship Id="rId16" Type="http://schemas.openxmlformats.org/officeDocument/2006/relationships/hyperlink" Target="http://www.ccl.gov.in/finc/pdf/annual_report/a_rep_2006_07.pdf" TargetMode="External"/><Relationship Id="rId20" Type="http://schemas.openxmlformats.org/officeDocument/2006/relationships/hyperlink" Target="http://ibm.nic.in/writereaddata/files/05312016123226Final_IMYB-Aluminium%20&amp;%20Alumina-2014.pdf" TargetMode="External"/><Relationship Id="rId29" Type="http://schemas.openxmlformats.org/officeDocument/2006/relationships/hyperlink" Target="http://ibm.nic.in/writereaddata/files/08092017094123Leadzinc2015(Final).pdf" TargetMode="External"/><Relationship Id="rId1" Type="http://schemas.openxmlformats.org/officeDocument/2006/relationships/hyperlink" Target="http://ibm.nic.in/writereaddata/files/07072014112401marketsurvey_leadandzinc.pdf" TargetMode="External"/><Relationship Id="rId6" Type="http://schemas.openxmlformats.org/officeDocument/2006/relationships/hyperlink" Target="http://www.cmaindia.org/activities/Publications-and-Periodicals.html" TargetMode="External"/><Relationship Id="rId11" Type="http://schemas.openxmlformats.org/officeDocument/2006/relationships/hyperlink" Target="http://ibm.nic.in/writereaddata/files/05282015122910Aluminium%20&amp;%20Alumina_2013.pdf" TargetMode="External"/><Relationship Id="rId24" Type="http://schemas.openxmlformats.org/officeDocument/2006/relationships/hyperlink" Target="http://ibm.nic.in/writereaddata/files/05152018161803Cement%202016.pdf" TargetMode="External"/><Relationship Id="rId32" Type="http://schemas.openxmlformats.org/officeDocument/2006/relationships/hyperlink" Target="http://ibm.nic.in/writereaddata/files/03162018165729Lead_Zinc_AR_2017.pdf" TargetMode="External"/><Relationship Id="rId5" Type="http://schemas.openxmlformats.org/officeDocument/2006/relationships/hyperlink" Target="http://ibm.nic.in/writereaddata/files/05282015123116Lead%20&amp;%20zinc_2013.pdf" TargetMode="External"/><Relationship Id="rId15" Type="http://schemas.openxmlformats.org/officeDocument/2006/relationships/hyperlink" Target="http://ibm.nic.in/writereaddata/files/01192015114407IMYB_2013_Vol%20III_Cement%202013.pdf" TargetMode="External"/><Relationship Id="rId23" Type="http://schemas.openxmlformats.org/officeDocument/2006/relationships/hyperlink" Target="http://ibm.nic.in/writereaddata/files/07072014112401marketsurvey_leadandzinc.pdf" TargetMode="External"/><Relationship Id="rId28" Type="http://schemas.openxmlformats.org/officeDocument/2006/relationships/hyperlink" Target="http://ibm.nic.in/writereaddata/files/03162018165422Aluminium_AR_2017.pdf" TargetMode="External"/><Relationship Id="rId10" Type="http://schemas.openxmlformats.org/officeDocument/2006/relationships/hyperlink" Target="http://ibm.nic.in/writereaddata/files/07092014130344IMYB-2012-%20Aluminium%20&amp;%20Alumina.pdf" TargetMode="External"/><Relationship Id="rId19" Type="http://schemas.openxmlformats.org/officeDocument/2006/relationships/hyperlink" Target="http://chemicals.nic.in/sites/default/files/MLCPCSTAT14_2.pdf" TargetMode="External"/><Relationship Id="rId31" Type="http://schemas.openxmlformats.org/officeDocument/2006/relationships/hyperlink" Target="http://ibm.nic.in/writereaddata/files/05222018175335Leadandzinc2016.pdf" TargetMode="External"/><Relationship Id="rId4" Type="http://schemas.openxmlformats.org/officeDocument/2006/relationships/hyperlink" Target="http://www.cmaindia.org/activities/Publications-and-Periodicals.html" TargetMode="External"/><Relationship Id="rId9" Type="http://schemas.openxmlformats.org/officeDocument/2006/relationships/hyperlink" Target="http://ibm.nic.in/writereaddata/files/07092014130344IMYB-2012-%20Aluminium%20&amp;%20Alumina.pdf" TargetMode="External"/><Relationship Id="rId14" Type="http://schemas.openxmlformats.org/officeDocument/2006/relationships/hyperlink" Target="http://www.mcxindia.com/downloads/overview/PDF/2010/Non-Agricultural/Aluminium.pdf" TargetMode="External"/><Relationship Id="rId22" Type="http://schemas.openxmlformats.org/officeDocument/2006/relationships/hyperlink" Target="https://minerals.usgs.gov/minerals/pubs/country/2005/inmyb05.pdf" TargetMode="External"/><Relationship Id="rId27" Type="http://schemas.openxmlformats.org/officeDocument/2006/relationships/hyperlink" Target="http://ibm.nic.in/writereaddata/files/07292016151318Cement-2014-Final.pdf" TargetMode="External"/><Relationship Id="rId30" Type="http://schemas.openxmlformats.org/officeDocument/2006/relationships/hyperlink" Target="http://ibm.nic.in/writereaddata/files/08092017093622Aluminiumandalumina2015(Final).pdf" TargetMode="External"/><Relationship Id="rId35" Type="http://schemas.openxmlformats.org/officeDocument/2006/relationships/hyperlink" Target="http://www.centralcoalfields.in/prfnc/anulrpt.php" TargetMode="External"/><Relationship Id="rId8" Type="http://schemas.openxmlformats.org/officeDocument/2006/relationships/hyperlink" Target="http://ibm.nic.in/writereaddata/files/01192015114407IMYB_2013_Vol%20III_Cement%202013.pdf"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7EF0-0AC6-4AA6-A91F-C6D4B25D19E9}">
  <dimension ref="A2:AB62"/>
  <sheetViews>
    <sheetView tabSelected="1" zoomScale="70" zoomScaleNormal="70" workbookViewId="0">
      <selection activeCell="C21" sqref="C21"/>
    </sheetView>
  </sheetViews>
  <sheetFormatPr defaultColWidth="8.85546875" defaultRowHeight="19.5" x14ac:dyDescent="0.3"/>
  <cols>
    <col min="1" max="1" width="8.85546875" style="19"/>
    <col min="2" max="2" width="53" style="19" customWidth="1"/>
    <col min="3" max="3" width="145.140625" style="19" customWidth="1"/>
    <col min="4" max="16384" width="8.85546875" style="19"/>
  </cols>
  <sheetData>
    <row r="2" spans="1:28" x14ac:dyDescent="0.3">
      <c r="A2" s="16"/>
      <c r="B2" s="16"/>
      <c r="C2" s="17"/>
      <c r="D2" s="18"/>
      <c r="E2" s="18"/>
      <c r="F2" s="18"/>
      <c r="G2" s="18"/>
      <c r="H2" s="18"/>
      <c r="I2" s="18"/>
      <c r="J2" s="18"/>
      <c r="K2" s="18"/>
      <c r="L2" s="18"/>
      <c r="M2" s="18"/>
      <c r="N2" s="18"/>
      <c r="O2" s="18"/>
      <c r="P2" s="18"/>
      <c r="Q2" s="18"/>
      <c r="R2" s="18"/>
      <c r="S2" s="18"/>
      <c r="T2" s="18"/>
      <c r="U2" s="18"/>
      <c r="V2" s="18"/>
      <c r="W2" s="18"/>
      <c r="X2" s="18"/>
      <c r="Y2" s="18"/>
      <c r="Z2" s="18"/>
      <c r="AA2" s="18"/>
      <c r="AB2" s="18"/>
    </row>
    <row r="3" spans="1:28" x14ac:dyDescent="0.3">
      <c r="A3" s="16"/>
      <c r="B3" s="20"/>
      <c r="C3" s="20"/>
      <c r="D3" s="18"/>
      <c r="E3" s="18"/>
      <c r="F3" s="18"/>
      <c r="G3" s="18"/>
      <c r="H3" s="18"/>
      <c r="I3" s="18"/>
      <c r="J3" s="18"/>
      <c r="K3" s="18"/>
      <c r="L3" s="18"/>
      <c r="M3" s="18"/>
      <c r="N3" s="18"/>
      <c r="O3" s="18"/>
      <c r="P3" s="18"/>
      <c r="Q3" s="18"/>
      <c r="R3" s="18"/>
      <c r="S3" s="18"/>
      <c r="T3" s="18"/>
      <c r="U3" s="18"/>
      <c r="V3" s="18"/>
      <c r="W3" s="18"/>
      <c r="X3" s="18"/>
      <c r="Y3" s="18"/>
      <c r="Z3" s="18"/>
      <c r="AA3" s="18"/>
      <c r="AB3" s="18"/>
    </row>
    <row r="4" spans="1:28" x14ac:dyDescent="0.3">
      <c r="A4" s="16"/>
      <c r="B4" s="16"/>
      <c r="C4" s="20"/>
      <c r="D4" s="18"/>
      <c r="E4" s="18"/>
      <c r="F4" s="18"/>
      <c r="G4" s="18"/>
      <c r="H4" s="18"/>
      <c r="I4" s="18"/>
      <c r="J4" s="18"/>
      <c r="K4" s="18"/>
      <c r="L4" s="18"/>
      <c r="M4" s="18"/>
      <c r="N4" s="18"/>
      <c r="O4" s="18"/>
      <c r="P4" s="18"/>
      <c r="Q4" s="18"/>
      <c r="R4" s="18"/>
      <c r="S4" s="18"/>
      <c r="T4" s="18"/>
      <c r="U4" s="18"/>
      <c r="V4" s="18"/>
      <c r="W4" s="18"/>
      <c r="X4" s="18"/>
      <c r="Y4" s="18"/>
      <c r="Z4" s="18"/>
      <c r="AA4" s="18"/>
      <c r="AB4" s="18"/>
    </row>
    <row r="5" spans="1:28" x14ac:dyDescent="0.3">
      <c r="A5" s="16"/>
      <c r="B5" s="16"/>
      <c r="C5" s="20"/>
      <c r="D5" s="18"/>
      <c r="E5" s="18"/>
      <c r="F5" s="18"/>
      <c r="G5" s="18"/>
      <c r="H5" s="18"/>
      <c r="I5" s="18"/>
      <c r="J5" s="18"/>
      <c r="K5" s="18"/>
      <c r="L5" s="18"/>
      <c r="M5" s="18"/>
      <c r="N5" s="18"/>
      <c r="O5" s="18"/>
      <c r="P5" s="18"/>
      <c r="Q5" s="18"/>
      <c r="R5" s="18"/>
      <c r="S5" s="18"/>
      <c r="T5" s="18"/>
      <c r="U5" s="18"/>
      <c r="V5" s="18"/>
      <c r="W5" s="18"/>
      <c r="X5" s="18"/>
      <c r="Y5" s="18"/>
      <c r="Z5" s="18"/>
      <c r="AA5" s="18"/>
      <c r="AB5" s="18"/>
    </row>
    <row r="6" spans="1:28" ht="20.25" thickBot="1" x14ac:dyDescent="0.35">
      <c r="A6" s="16"/>
      <c r="B6" s="21"/>
      <c r="C6" s="22"/>
      <c r="D6" s="18"/>
      <c r="E6" s="18"/>
      <c r="F6" s="18"/>
      <c r="G6" s="18"/>
      <c r="H6" s="18"/>
      <c r="I6" s="18"/>
      <c r="J6" s="18"/>
      <c r="K6" s="18"/>
      <c r="L6" s="18"/>
      <c r="M6" s="18"/>
      <c r="N6" s="18"/>
      <c r="O6" s="18"/>
      <c r="P6" s="18"/>
      <c r="Q6" s="18"/>
      <c r="R6" s="18"/>
      <c r="S6" s="18"/>
      <c r="T6" s="18"/>
      <c r="U6" s="18"/>
      <c r="V6" s="18"/>
      <c r="W6" s="18"/>
      <c r="X6" s="18"/>
      <c r="Y6" s="18"/>
      <c r="Z6" s="18"/>
      <c r="AA6" s="18"/>
      <c r="AB6" s="18"/>
    </row>
    <row r="7" spans="1:28" ht="20.25" thickBot="1" x14ac:dyDescent="0.35">
      <c r="A7" s="16"/>
      <c r="B7" s="163" t="s">
        <v>0</v>
      </c>
      <c r="C7" s="164" t="s">
        <v>1</v>
      </c>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3">
      <c r="A8" s="16"/>
      <c r="B8" s="165" t="s">
        <v>2</v>
      </c>
      <c r="C8" s="166" t="s">
        <v>355</v>
      </c>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3">
      <c r="A9" s="16"/>
      <c r="B9" s="167" t="s">
        <v>3</v>
      </c>
      <c r="C9" s="168" t="s">
        <v>336</v>
      </c>
      <c r="D9" s="18"/>
      <c r="E9" s="18"/>
      <c r="F9" s="18"/>
      <c r="G9" s="18"/>
      <c r="H9" s="18"/>
      <c r="I9" s="18"/>
      <c r="J9" s="18"/>
      <c r="K9" s="18"/>
      <c r="L9" s="18"/>
      <c r="M9" s="18"/>
      <c r="N9" s="18"/>
      <c r="O9" s="18"/>
      <c r="P9" s="18"/>
      <c r="Q9" s="18"/>
      <c r="R9" s="18"/>
      <c r="S9" s="18"/>
      <c r="T9" s="18"/>
      <c r="U9" s="18"/>
      <c r="V9" s="18"/>
      <c r="W9" s="18"/>
      <c r="X9" s="18"/>
      <c r="Y9" s="18"/>
      <c r="Z9" s="18"/>
      <c r="AA9" s="18"/>
      <c r="AB9" s="18"/>
    </row>
    <row r="10" spans="1:28" x14ac:dyDescent="0.3">
      <c r="A10" s="16"/>
      <c r="B10" s="169" t="s">
        <v>4</v>
      </c>
      <c r="C10" s="168" t="s">
        <v>5</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row>
    <row r="11" spans="1:28" x14ac:dyDescent="0.3">
      <c r="A11" s="16"/>
      <c r="B11" s="169" t="s">
        <v>6</v>
      </c>
      <c r="C11" s="170" t="s">
        <v>337</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row>
    <row r="12" spans="1:28" ht="90" x14ac:dyDescent="0.3">
      <c r="A12" s="16"/>
      <c r="B12" s="169" t="s">
        <v>7</v>
      </c>
      <c r="C12" s="171" t="s">
        <v>8</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row>
    <row r="13" spans="1:28" ht="45" x14ac:dyDescent="0.3">
      <c r="A13" s="16"/>
      <c r="B13" s="172" t="s">
        <v>9</v>
      </c>
      <c r="C13" s="173" t="s">
        <v>335</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row>
    <row r="14" spans="1:28" ht="20.25" thickBot="1" x14ac:dyDescent="0.35">
      <c r="A14" s="16"/>
      <c r="B14" s="172" t="s">
        <v>10</v>
      </c>
      <c r="C14" s="174" t="s">
        <v>11</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row>
    <row r="15" spans="1:28" ht="20.25" thickBot="1" x14ac:dyDescent="0.35">
      <c r="A15" s="16"/>
      <c r="B15" s="175" t="s">
        <v>12</v>
      </c>
      <c r="C15" s="176" t="s">
        <v>354</v>
      </c>
      <c r="D15" s="23"/>
      <c r="E15" s="18"/>
      <c r="F15" s="18"/>
      <c r="G15" s="18"/>
    </row>
    <row r="16" spans="1:28" ht="99" customHeight="1" x14ac:dyDescent="0.3">
      <c r="A16" s="16"/>
      <c r="B16" s="169" t="s">
        <v>13</v>
      </c>
      <c r="C16" s="177" t="s">
        <v>14</v>
      </c>
      <c r="D16" s="18"/>
      <c r="E16" s="18"/>
      <c r="F16" s="18"/>
      <c r="G16" s="18"/>
    </row>
    <row r="17" spans="1:7" ht="67.5" customHeight="1" x14ac:dyDescent="0.3">
      <c r="A17" s="16"/>
      <c r="B17" s="172" t="s">
        <v>15</v>
      </c>
      <c r="C17" s="170" t="s">
        <v>356</v>
      </c>
      <c r="D17" s="18"/>
      <c r="E17" s="18"/>
      <c r="F17" s="18"/>
      <c r="G17" s="18"/>
    </row>
    <row r="18" spans="1:7" ht="86.25" customHeight="1" thickBot="1" x14ac:dyDescent="0.35">
      <c r="A18" s="16"/>
      <c r="B18" s="178" t="s">
        <v>16</v>
      </c>
      <c r="C18" s="179" t="s">
        <v>17</v>
      </c>
      <c r="D18" s="18"/>
      <c r="E18" s="18"/>
      <c r="F18" s="18"/>
      <c r="G18" s="18"/>
    </row>
    <row r="19" spans="1:7" x14ac:dyDescent="0.3">
      <c r="A19" s="16"/>
      <c r="B19" s="16"/>
      <c r="C19" s="16"/>
      <c r="D19" s="18"/>
      <c r="E19" s="18"/>
      <c r="F19" s="18"/>
      <c r="G19" s="18"/>
    </row>
    <row r="20" spans="1:7" x14ac:dyDescent="0.3">
      <c r="A20" s="16"/>
      <c r="B20" s="16"/>
      <c r="C20" s="16"/>
      <c r="D20" s="18"/>
      <c r="E20" s="18"/>
      <c r="F20" s="18"/>
      <c r="G20" s="18"/>
    </row>
    <row r="21" spans="1:7" x14ac:dyDescent="0.3">
      <c r="A21" s="16"/>
      <c r="B21" s="16"/>
      <c r="C21" s="16"/>
      <c r="D21" s="18"/>
      <c r="E21" s="18"/>
      <c r="F21" s="18"/>
      <c r="G21" s="18"/>
    </row>
    <row r="22" spans="1:7" x14ac:dyDescent="0.3">
      <c r="A22" s="16"/>
      <c r="B22" s="16"/>
      <c r="C22" s="16"/>
      <c r="D22" s="18"/>
      <c r="E22" s="18"/>
      <c r="F22" s="18"/>
      <c r="G22" s="18"/>
    </row>
    <row r="23" spans="1:7" x14ac:dyDescent="0.3">
      <c r="A23" s="16"/>
      <c r="B23" s="16"/>
      <c r="C23" s="16"/>
      <c r="D23" s="18"/>
      <c r="E23" s="18"/>
      <c r="F23" s="18"/>
      <c r="G23" s="18"/>
    </row>
    <row r="24" spans="1:7" x14ac:dyDescent="0.3">
      <c r="A24" s="16"/>
      <c r="B24" s="16"/>
      <c r="C24" s="16"/>
      <c r="D24" s="18"/>
      <c r="E24" s="18"/>
      <c r="F24" s="18"/>
      <c r="G24" s="18"/>
    </row>
    <row r="25" spans="1:7" x14ac:dyDescent="0.3">
      <c r="A25" s="16"/>
      <c r="B25" s="16"/>
      <c r="C25" s="16"/>
      <c r="D25" s="18"/>
      <c r="E25" s="18"/>
      <c r="F25" s="18"/>
      <c r="G25" s="18"/>
    </row>
    <row r="26" spans="1:7" x14ac:dyDescent="0.3">
      <c r="A26" s="16"/>
      <c r="B26" s="16"/>
      <c r="C26" s="16"/>
      <c r="D26" s="18"/>
      <c r="E26" s="18"/>
      <c r="F26" s="18"/>
      <c r="G26" s="18"/>
    </row>
    <row r="27" spans="1:7" x14ac:dyDescent="0.3">
      <c r="A27" s="16"/>
      <c r="B27" s="16"/>
      <c r="C27" s="16"/>
      <c r="D27" s="18"/>
      <c r="E27" s="18"/>
      <c r="F27" s="18"/>
      <c r="G27" s="18"/>
    </row>
    <row r="28" spans="1:7" x14ac:dyDescent="0.3">
      <c r="A28" s="16"/>
      <c r="B28" s="16"/>
      <c r="C28" s="16"/>
      <c r="D28" s="18"/>
      <c r="E28" s="18"/>
      <c r="F28" s="18"/>
      <c r="G28" s="18"/>
    </row>
    <row r="29" spans="1:7" x14ac:dyDescent="0.3">
      <c r="A29" s="16"/>
      <c r="B29" s="16"/>
      <c r="C29" s="16"/>
      <c r="D29" s="18"/>
      <c r="E29" s="18"/>
      <c r="F29" s="18"/>
      <c r="G29" s="18"/>
    </row>
    <row r="30" spans="1:7" x14ac:dyDescent="0.3">
      <c r="A30" s="16"/>
      <c r="B30" s="16"/>
      <c r="C30" s="16"/>
      <c r="D30" s="18"/>
      <c r="E30" s="18"/>
      <c r="F30" s="18"/>
      <c r="G30" s="18"/>
    </row>
    <row r="31" spans="1:7" x14ac:dyDescent="0.3">
      <c r="A31" s="16"/>
      <c r="B31" s="16"/>
      <c r="C31" s="16"/>
      <c r="D31" s="18"/>
      <c r="E31" s="18"/>
      <c r="F31" s="18"/>
      <c r="G31" s="18"/>
    </row>
    <row r="32" spans="1:7" x14ac:dyDescent="0.3">
      <c r="A32" s="16"/>
      <c r="B32" s="16"/>
      <c r="C32" s="16"/>
      <c r="D32" s="18"/>
      <c r="E32" s="18"/>
      <c r="F32" s="18"/>
      <c r="G32" s="18"/>
    </row>
    <row r="33" spans="1:7" x14ac:dyDescent="0.3">
      <c r="A33" s="16"/>
      <c r="B33" s="16"/>
      <c r="C33" s="16"/>
      <c r="D33" s="18"/>
      <c r="E33" s="18"/>
      <c r="F33" s="18"/>
      <c r="G33" s="18"/>
    </row>
    <row r="34" spans="1:7" x14ac:dyDescent="0.3">
      <c r="A34" s="16"/>
      <c r="B34" s="16"/>
      <c r="C34" s="16"/>
      <c r="D34" s="18"/>
      <c r="E34" s="18"/>
      <c r="F34" s="18"/>
      <c r="G34" s="18"/>
    </row>
    <row r="35" spans="1:7" x14ac:dyDescent="0.3">
      <c r="A35" s="16"/>
      <c r="B35" s="16"/>
      <c r="C35" s="16"/>
      <c r="D35" s="18"/>
      <c r="E35" s="18"/>
      <c r="F35" s="18"/>
      <c r="G35" s="18"/>
    </row>
    <row r="36" spans="1:7" x14ac:dyDescent="0.3">
      <c r="A36" s="16"/>
      <c r="B36" s="16"/>
      <c r="C36" s="16"/>
      <c r="D36" s="18"/>
      <c r="E36" s="18"/>
      <c r="F36" s="18"/>
      <c r="G36" s="18"/>
    </row>
    <row r="37" spans="1:7" x14ac:dyDescent="0.3">
      <c r="A37" s="16"/>
      <c r="B37" s="16"/>
      <c r="C37" s="16"/>
      <c r="D37" s="18"/>
      <c r="E37" s="18"/>
      <c r="F37" s="18"/>
      <c r="G37" s="18"/>
    </row>
    <row r="38" spans="1:7" x14ac:dyDescent="0.3">
      <c r="A38" s="16"/>
      <c r="B38" s="16"/>
      <c r="C38" s="16"/>
      <c r="D38" s="18"/>
      <c r="E38" s="18"/>
      <c r="F38" s="18"/>
      <c r="G38" s="18"/>
    </row>
    <row r="39" spans="1:7" x14ac:dyDescent="0.3">
      <c r="A39" s="16"/>
      <c r="B39" s="16"/>
      <c r="C39" s="16"/>
      <c r="D39" s="18"/>
      <c r="E39" s="18"/>
      <c r="F39" s="18"/>
      <c r="G39" s="18"/>
    </row>
    <row r="40" spans="1:7" x14ac:dyDescent="0.3">
      <c r="A40" s="16"/>
      <c r="B40" s="16"/>
      <c r="C40" s="16"/>
      <c r="D40" s="18"/>
      <c r="E40" s="18"/>
      <c r="F40" s="18"/>
      <c r="G40" s="18"/>
    </row>
    <row r="41" spans="1:7" x14ac:dyDescent="0.3">
      <c r="A41" s="16"/>
      <c r="B41" s="16"/>
      <c r="C41" s="16"/>
      <c r="D41" s="18"/>
      <c r="E41" s="18"/>
      <c r="F41" s="18"/>
      <c r="G41" s="18"/>
    </row>
    <row r="42" spans="1:7" x14ac:dyDescent="0.3">
      <c r="A42" s="16"/>
      <c r="B42" s="16"/>
      <c r="C42" s="16"/>
      <c r="D42" s="18"/>
      <c r="E42" s="18"/>
      <c r="F42" s="18"/>
      <c r="G42" s="18"/>
    </row>
    <row r="43" spans="1:7" x14ac:dyDescent="0.3">
      <c r="A43" s="16"/>
      <c r="B43" s="16"/>
      <c r="C43" s="16"/>
      <c r="D43" s="18"/>
      <c r="E43" s="18"/>
      <c r="F43" s="18"/>
      <c r="G43" s="18"/>
    </row>
    <row r="44" spans="1:7" x14ac:dyDescent="0.3">
      <c r="A44" s="16"/>
      <c r="B44" s="16"/>
      <c r="C44" s="16"/>
      <c r="D44" s="18"/>
      <c r="E44" s="18"/>
      <c r="F44" s="18"/>
      <c r="G44" s="18"/>
    </row>
    <row r="45" spans="1:7" x14ac:dyDescent="0.3">
      <c r="A45" s="16"/>
      <c r="B45" s="16"/>
      <c r="C45" s="16"/>
      <c r="D45" s="18"/>
      <c r="E45" s="18"/>
      <c r="F45" s="18"/>
      <c r="G45" s="18"/>
    </row>
    <row r="46" spans="1:7" x14ac:dyDescent="0.3">
      <c r="A46" s="16"/>
      <c r="B46" s="16"/>
      <c r="C46" s="16"/>
      <c r="D46" s="18"/>
      <c r="E46" s="18"/>
      <c r="F46" s="18"/>
      <c r="G46" s="18"/>
    </row>
    <row r="47" spans="1:7" x14ac:dyDescent="0.3">
      <c r="A47" s="16"/>
      <c r="B47" s="16"/>
      <c r="C47" s="16"/>
      <c r="D47" s="18"/>
      <c r="E47" s="18"/>
      <c r="F47" s="18"/>
      <c r="G47" s="18"/>
    </row>
    <row r="48" spans="1:7" x14ac:dyDescent="0.3">
      <c r="A48" s="16"/>
      <c r="B48" s="16"/>
      <c r="C48" s="16"/>
      <c r="D48" s="18"/>
      <c r="E48" s="18"/>
      <c r="F48" s="18"/>
      <c r="G48" s="18"/>
    </row>
    <row r="49" spans="1:7" x14ac:dyDescent="0.3">
      <c r="A49" s="16"/>
      <c r="B49" s="16"/>
      <c r="C49" s="16"/>
      <c r="D49" s="18"/>
      <c r="E49" s="18"/>
      <c r="F49" s="18"/>
      <c r="G49" s="18"/>
    </row>
    <row r="50" spans="1:7" x14ac:dyDescent="0.3">
      <c r="A50" s="18"/>
      <c r="D50" s="18"/>
      <c r="E50" s="18"/>
      <c r="F50" s="18"/>
      <c r="G50" s="18"/>
    </row>
    <row r="51" spans="1:7" x14ac:dyDescent="0.3">
      <c r="A51" s="18"/>
      <c r="D51" s="18"/>
      <c r="E51" s="18"/>
      <c r="F51" s="18"/>
      <c r="G51" s="18"/>
    </row>
    <row r="52" spans="1:7" x14ac:dyDescent="0.3">
      <c r="A52" s="18"/>
      <c r="D52" s="18"/>
      <c r="E52" s="18"/>
      <c r="F52" s="18"/>
      <c r="G52" s="18"/>
    </row>
    <row r="53" spans="1:7" x14ac:dyDescent="0.3">
      <c r="A53" s="18"/>
      <c r="D53" s="18"/>
      <c r="E53" s="18"/>
      <c r="F53" s="18"/>
      <c r="G53" s="18"/>
    </row>
    <row r="54" spans="1:7" x14ac:dyDescent="0.3">
      <c r="A54" s="18"/>
      <c r="D54" s="18"/>
      <c r="E54" s="18"/>
      <c r="F54" s="18"/>
      <c r="G54" s="18"/>
    </row>
    <row r="55" spans="1:7" x14ac:dyDescent="0.3">
      <c r="A55" s="18"/>
      <c r="D55" s="18"/>
      <c r="E55" s="18"/>
      <c r="F55" s="18"/>
      <c r="G55" s="18"/>
    </row>
    <row r="56" spans="1:7" x14ac:dyDescent="0.3">
      <c r="A56" s="18"/>
      <c r="D56" s="18"/>
      <c r="E56" s="18"/>
      <c r="F56" s="18"/>
      <c r="G56" s="18"/>
    </row>
    <row r="57" spans="1:7" x14ac:dyDescent="0.3">
      <c r="A57" s="18"/>
      <c r="D57" s="18"/>
      <c r="E57" s="18"/>
      <c r="F57" s="18"/>
      <c r="G57" s="18"/>
    </row>
    <row r="58" spans="1:7" x14ac:dyDescent="0.3">
      <c r="A58" s="18"/>
    </row>
    <row r="59" spans="1:7" x14ac:dyDescent="0.3">
      <c r="A59" s="18"/>
    </row>
    <row r="60" spans="1:7" x14ac:dyDescent="0.3">
      <c r="A60" s="18"/>
    </row>
    <row r="61" spans="1:7" x14ac:dyDescent="0.3">
      <c r="A61" s="18"/>
    </row>
    <row r="62" spans="1:7" x14ac:dyDescent="0.3">
      <c r="A62" s="18"/>
    </row>
  </sheetData>
  <hyperlinks>
    <hyperlink ref="C15" r:id="rId1" display="vaibhav.gupta@ceew.in; info@ghgplatform-india.org" xr:uid="{7DFC6E4D-F250-4CD3-81EF-4026D0DC33F4}"/>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3B87-90EA-4846-ACA4-13292311C726}">
  <dimension ref="A1:N100"/>
  <sheetViews>
    <sheetView topLeftCell="A48" zoomScale="70" zoomScaleNormal="70" workbookViewId="0">
      <selection activeCell="A23" sqref="A23"/>
    </sheetView>
  </sheetViews>
  <sheetFormatPr defaultColWidth="9.140625" defaultRowHeight="15" x14ac:dyDescent="0.25"/>
  <cols>
    <col min="1" max="1" width="18.7109375" style="1" customWidth="1"/>
    <col min="2" max="2" width="38.28515625" style="1" customWidth="1"/>
    <col min="3" max="3" width="16.28515625" style="1" customWidth="1"/>
    <col min="4" max="4" width="14.28515625" style="1" customWidth="1"/>
    <col min="5" max="6" width="14.5703125" style="1" customWidth="1"/>
    <col min="7" max="8" width="14.28515625" style="1" customWidth="1"/>
    <col min="9" max="9" width="17.42578125" style="1" customWidth="1"/>
    <col min="10" max="10" width="13.7109375" style="1" customWidth="1"/>
    <col min="11" max="11" width="15.5703125" style="1" customWidth="1"/>
    <col min="12" max="12" width="13.5703125" style="1" customWidth="1"/>
    <col min="13" max="13" width="17.28515625" style="1" customWidth="1"/>
    <col min="14" max="14" width="13.42578125" style="1" customWidth="1"/>
    <col min="15" max="16384" width="9.140625" style="1"/>
  </cols>
  <sheetData>
    <row r="1" spans="1:14" x14ac:dyDescent="0.25">
      <c r="A1" s="241" t="s">
        <v>247</v>
      </c>
      <c r="B1" s="241"/>
      <c r="C1" s="137" t="s">
        <v>31</v>
      </c>
      <c r="D1" s="137" t="s">
        <v>32</v>
      </c>
      <c r="E1" s="137" t="s">
        <v>33</v>
      </c>
      <c r="F1" s="137" t="s">
        <v>34</v>
      </c>
      <c r="G1" s="137" t="s">
        <v>35</v>
      </c>
      <c r="H1" s="137" t="s">
        <v>36</v>
      </c>
      <c r="I1" s="137" t="s">
        <v>37</v>
      </c>
      <c r="J1" s="137" t="s">
        <v>38</v>
      </c>
      <c r="K1" s="137" t="s">
        <v>39</v>
      </c>
      <c r="L1" s="137" t="s">
        <v>40</v>
      </c>
      <c r="M1" s="137" t="s">
        <v>241</v>
      </c>
      <c r="N1" s="137" t="s">
        <v>242</v>
      </c>
    </row>
    <row r="2" spans="1:14" ht="49.5" customHeight="1" x14ac:dyDescent="0.25">
      <c r="A2" s="138" t="s">
        <v>41</v>
      </c>
      <c r="B2" s="139" t="s">
        <v>42</v>
      </c>
      <c r="C2" s="243" t="s">
        <v>248</v>
      </c>
      <c r="D2" s="243"/>
      <c r="E2" s="243"/>
      <c r="F2" s="243"/>
      <c r="G2" s="243"/>
      <c r="H2" s="243"/>
      <c r="I2" s="243"/>
      <c r="J2" s="243"/>
      <c r="K2" s="243"/>
      <c r="L2" s="243"/>
      <c r="M2" s="243"/>
      <c r="N2" s="243"/>
    </row>
    <row r="3" spans="1:14" ht="53.25" customHeight="1" x14ac:dyDescent="0.25">
      <c r="A3" s="140" t="s">
        <v>46</v>
      </c>
      <c r="B3" s="141" t="s">
        <v>47</v>
      </c>
      <c r="C3" s="230"/>
      <c r="D3" s="230"/>
      <c r="E3" s="230"/>
      <c r="F3" s="230"/>
      <c r="G3" s="230"/>
      <c r="H3" s="230"/>
      <c r="I3" s="230"/>
      <c r="J3" s="230"/>
      <c r="K3" s="230"/>
      <c r="L3" s="230"/>
      <c r="M3" s="230"/>
      <c r="N3" s="230"/>
    </row>
    <row r="4" spans="1:14" ht="30.75" customHeight="1" x14ac:dyDescent="0.25">
      <c r="A4" s="142" t="s">
        <v>48</v>
      </c>
      <c r="B4" s="143" t="s">
        <v>49</v>
      </c>
      <c r="C4" s="228" t="s">
        <v>249</v>
      </c>
      <c r="D4" s="228"/>
      <c r="E4" s="228"/>
      <c r="F4" s="228"/>
      <c r="G4" s="228"/>
      <c r="H4" s="228"/>
      <c r="I4" s="228"/>
      <c r="J4" s="228"/>
      <c r="K4" s="228"/>
      <c r="L4" s="228"/>
      <c r="M4" s="228"/>
      <c r="N4" s="228"/>
    </row>
    <row r="5" spans="1:14" ht="24.75" customHeight="1" x14ac:dyDescent="0.25">
      <c r="A5" s="142" t="s">
        <v>51</v>
      </c>
      <c r="B5" s="143" t="s">
        <v>52</v>
      </c>
      <c r="C5" s="229" t="s">
        <v>250</v>
      </c>
      <c r="D5" s="229"/>
      <c r="E5" s="229"/>
      <c r="F5" s="229"/>
      <c r="G5" s="229"/>
      <c r="H5" s="229"/>
      <c r="I5" s="229"/>
      <c r="J5" s="229"/>
      <c r="K5" s="229"/>
      <c r="L5" s="229"/>
      <c r="M5" s="229"/>
      <c r="N5" s="229"/>
    </row>
    <row r="6" spans="1:14" ht="105" customHeight="1" x14ac:dyDescent="0.25">
      <c r="A6" s="142" t="s">
        <v>53</v>
      </c>
      <c r="B6" s="143" t="s">
        <v>54</v>
      </c>
      <c r="C6" s="229"/>
      <c r="D6" s="229"/>
      <c r="E6" s="229"/>
      <c r="F6" s="229"/>
      <c r="G6" s="229"/>
      <c r="H6" s="229"/>
      <c r="I6" s="229"/>
      <c r="J6" s="229"/>
      <c r="K6" s="229"/>
      <c r="L6" s="229"/>
      <c r="M6" s="229"/>
      <c r="N6" s="229"/>
    </row>
    <row r="7" spans="1:14" ht="45" customHeight="1" x14ac:dyDescent="0.25">
      <c r="A7" s="142" t="s">
        <v>55</v>
      </c>
      <c r="B7" s="143" t="s">
        <v>56</v>
      </c>
      <c r="C7" s="229"/>
      <c r="D7" s="229"/>
      <c r="E7" s="229"/>
      <c r="F7" s="229"/>
      <c r="G7" s="229"/>
      <c r="H7" s="229"/>
      <c r="I7" s="229"/>
      <c r="J7" s="229"/>
      <c r="K7" s="229"/>
      <c r="L7" s="229"/>
      <c r="M7" s="229"/>
      <c r="N7" s="229"/>
    </row>
    <row r="8" spans="1:14" x14ac:dyDescent="0.25">
      <c r="A8" s="142" t="s">
        <v>57</v>
      </c>
      <c r="B8" s="143" t="s">
        <v>58</v>
      </c>
      <c r="C8" s="234" t="s">
        <v>251</v>
      </c>
      <c r="D8" s="234"/>
      <c r="E8" s="234"/>
      <c r="F8" s="234"/>
      <c r="G8" s="234"/>
      <c r="H8" s="234"/>
      <c r="I8" s="234"/>
      <c r="J8" s="234"/>
      <c r="K8" s="234"/>
      <c r="L8" s="234"/>
      <c r="M8" s="234"/>
      <c r="N8" s="234"/>
    </row>
    <row r="9" spans="1:14" ht="30" x14ac:dyDescent="0.25">
      <c r="A9" s="140" t="s">
        <v>59</v>
      </c>
      <c r="B9" s="144" t="s">
        <v>252</v>
      </c>
      <c r="C9" s="242"/>
      <c r="D9" s="242"/>
      <c r="E9" s="242"/>
      <c r="F9" s="242"/>
      <c r="G9" s="242"/>
      <c r="H9" s="242"/>
      <c r="I9" s="242"/>
      <c r="J9" s="242"/>
      <c r="K9" s="242"/>
      <c r="L9" s="242"/>
      <c r="M9" s="242"/>
      <c r="N9" s="242"/>
    </row>
    <row r="10" spans="1:14" x14ac:dyDescent="0.25">
      <c r="A10" s="142" t="s">
        <v>61</v>
      </c>
      <c r="B10" s="143" t="s">
        <v>62</v>
      </c>
      <c r="C10" s="229" t="s">
        <v>250</v>
      </c>
      <c r="D10" s="229"/>
      <c r="E10" s="229"/>
      <c r="F10" s="229"/>
      <c r="G10" s="229"/>
      <c r="H10" s="229"/>
      <c r="I10" s="229"/>
      <c r="J10" s="229"/>
      <c r="K10" s="229"/>
      <c r="L10" s="229"/>
      <c r="M10" s="229"/>
      <c r="N10" s="229"/>
    </row>
    <row r="11" spans="1:14" ht="45" customHeight="1" x14ac:dyDescent="0.25">
      <c r="A11" s="142" t="s">
        <v>63</v>
      </c>
      <c r="B11" s="143" t="s">
        <v>64</v>
      </c>
      <c r="C11" s="229"/>
      <c r="D11" s="229"/>
      <c r="E11" s="229"/>
      <c r="F11" s="229"/>
      <c r="G11" s="229"/>
      <c r="H11" s="229"/>
      <c r="I11" s="229"/>
      <c r="J11" s="229"/>
      <c r="K11" s="229"/>
      <c r="L11" s="229"/>
      <c r="M11" s="229"/>
      <c r="N11" s="229"/>
    </row>
    <row r="12" spans="1:14" ht="30" customHeight="1" x14ac:dyDescent="0.25">
      <c r="A12" s="145" t="s">
        <v>65</v>
      </c>
      <c r="B12" s="146" t="s">
        <v>265</v>
      </c>
      <c r="C12" s="229"/>
      <c r="D12" s="229"/>
      <c r="E12" s="229"/>
      <c r="F12" s="229"/>
      <c r="G12" s="229"/>
      <c r="H12" s="229"/>
      <c r="I12" s="229"/>
      <c r="J12" s="229"/>
      <c r="K12" s="229"/>
      <c r="L12" s="229"/>
      <c r="M12" s="229"/>
      <c r="N12" s="229"/>
    </row>
    <row r="13" spans="1:14" ht="45" customHeight="1" x14ac:dyDescent="0.25">
      <c r="A13" s="142" t="s">
        <v>67</v>
      </c>
      <c r="B13" s="143" t="s">
        <v>68</v>
      </c>
      <c r="C13" s="229"/>
      <c r="D13" s="229"/>
      <c r="E13" s="229"/>
      <c r="F13" s="229"/>
      <c r="G13" s="229"/>
      <c r="H13" s="229"/>
      <c r="I13" s="229"/>
      <c r="J13" s="229"/>
      <c r="K13" s="229"/>
      <c r="L13" s="229"/>
      <c r="M13" s="229"/>
      <c r="N13" s="229"/>
    </row>
    <row r="14" spans="1:14" ht="90" customHeight="1" x14ac:dyDescent="0.25">
      <c r="A14" s="142" t="s">
        <v>69</v>
      </c>
      <c r="B14" s="143" t="s">
        <v>70</v>
      </c>
      <c r="C14" s="229"/>
      <c r="D14" s="229"/>
      <c r="E14" s="229"/>
      <c r="F14" s="229"/>
      <c r="G14" s="229"/>
      <c r="H14" s="229"/>
      <c r="I14" s="229"/>
      <c r="J14" s="229"/>
      <c r="K14" s="229"/>
      <c r="L14" s="229"/>
      <c r="M14" s="229"/>
      <c r="N14" s="229"/>
    </row>
    <row r="15" spans="1:14" ht="45" customHeight="1" x14ac:dyDescent="0.25">
      <c r="A15" s="142" t="s">
        <v>71</v>
      </c>
      <c r="B15" s="143" t="s">
        <v>266</v>
      </c>
      <c r="C15" s="229"/>
      <c r="D15" s="229"/>
      <c r="E15" s="229"/>
      <c r="F15" s="229"/>
      <c r="G15" s="229"/>
      <c r="H15" s="229"/>
      <c r="I15" s="229"/>
      <c r="J15" s="229"/>
      <c r="K15" s="229"/>
      <c r="L15" s="229"/>
      <c r="M15" s="229"/>
      <c r="N15" s="229"/>
    </row>
    <row r="16" spans="1:14" x14ac:dyDescent="0.25">
      <c r="A16" s="142" t="s">
        <v>73</v>
      </c>
      <c r="B16" s="126" t="s">
        <v>74</v>
      </c>
      <c r="C16" s="229"/>
      <c r="D16" s="229"/>
      <c r="E16" s="229"/>
      <c r="F16" s="229"/>
      <c r="G16" s="229"/>
      <c r="H16" s="229"/>
      <c r="I16" s="229"/>
      <c r="J16" s="229"/>
      <c r="K16" s="229"/>
      <c r="L16" s="229"/>
      <c r="M16" s="229"/>
      <c r="N16" s="229"/>
    </row>
    <row r="17" spans="1:14" x14ac:dyDescent="0.25">
      <c r="A17" s="142" t="s">
        <v>75</v>
      </c>
      <c r="B17" s="126" t="s">
        <v>76</v>
      </c>
      <c r="C17" s="229"/>
      <c r="D17" s="229"/>
      <c r="E17" s="229"/>
      <c r="F17" s="229"/>
      <c r="G17" s="229"/>
      <c r="H17" s="229"/>
      <c r="I17" s="229"/>
      <c r="J17" s="229"/>
      <c r="K17" s="229"/>
      <c r="L17" s="229"/>
      <c r="M17" s="229"/>
      <c r="N17" s="229"/>
    </row>
    <row r="18" spans="1:14" x14ac:dyDescent="0.25">
      <c r="A18" s="142" t="s">
        <v>77</v>
      </c>
      <c r="B18" s="126" t="s">
        <v>78</v>
      </c>
      <c r="C18" s="229"/>
      <c r="D18" s="229"/>
      <c r="E18" s="229"/>
      <c r="F18" s="229"/>
      <c r="G18" s="229"/>
      <c r="H18" s="229"/>
      <c r="I18" s="229"/>
      <c r="J18" s="229"/>
      <c r="K18" s="229"/>
      <c r="L18" s="229"/>
      <c r="M18" s="229"/>
      <c r="N18" s="229"/>
    </row>
    <row r="19" spans="1:14" x14ac:dyDescent="0.25">
      <c r="A19" s="142" t="s">
        <v>79</v>
      </c>
      <c r="B19" s="126" t="s">
        <v>80</v>
      </c>
      <c r="C19" s="229"/>
      <c r="D19" s="229"/>
      <c r="E19" s="229"/>
      <c r="F19" s="229"/>
      <c r="G19" s="229"/>
      <c r="H19" s="229"/>
      <c r="I19" s="229"/>
      <c r="J19" s="229"/>
      <c r="K19" s="229"/>
      <c r="L19" s="229"/>
      <c r="M19" s="229"/>
      <c r="N19" s="229"/>
    </row>
    <row r="20" spans="1:14" x14ac:dyDescent="0.25">
      <c r="A20" s="142" t="s">
        <v>81</v>
      </c>
      <c r="B20" s="126" t="s">
        <v>82</v>
      </c>
      <c r="C20" s="229"/>
      <c r="D20" s="229"/>
      <c r="E20" s="229"/>
      <c r="F20" s="229"/>
      <c r="G20" s="229"/>
      <c r="H20" s="229"/>
      <c r="I20" s="229"/>
      <c r="J20" s="229"/>
      <c r="K20" s="229"/>
      <c r="L20" s="229"/>
      <c r="M20" s="229"/>
      <c r="N20" s="229"/>
    </row>
    <row r="21" spans="1:14" x14ac:dyDescent="0.25">
      <c r="A21" s="145" t="s">
        <v>83</v>
      </c>
      <c r="B21" s="132" t="s">
        <v>84</v>
      </c>
      <c r="C21" s="229"/>
      <c r="D21" s="229"/>
      <c r="E21" s="229"/>
      <c r="F21" s="229"/>
      <c r="G21" s="229"/>
      <c r="H21" s="229"/>
      <c r="I21" s="229"/>
      <c r="J21" s="229"/>
      <c r="K21" s="229"/>
      <c r="L21" s="229"/>
      <c r="M21" s="229"/>
      <c r="N21" s="229"/>
    </row>
    <row r="22" spans="1:14" x14ac:dyDescent="0.25">
      <c r="A22" s="142" t="s">
        <v>85</v>
      </c>
      <c r="B22" s="126" t="s">
        <v>86</v>
      </c>
      <c r="C22" s="229"/>
      <c r="D22" s="229"/>
      <c r="E22" s="229"/>
      <c r="F22" s="229"/>
      <c r="G22" s="229"/>
      <c r="H22" s="229"/>
      <c r="I22" s="229"/>
      <c r="J22" s="229"/>
      <c r="K22" s="229"/>
      <c r="L22" s="229"/>
      <c r="M22" s="229"/>
      <c r="N22" s="229"/>
    </row>
    <row r="23" spans="1:14" x14ac:dyDescent="0.25">
      <c r="A23" s="142" t="s">
        <v>87</v>
      </c>
      <c r="B23" s="126" t="s">
        <v>88</v>
      </c>
      <c r="C23" s="228" t="s">
        <v>249</v>
      </c>
      <c r="D23" s="228"/>
      <c r="E23" s="228"/>
      <c r="F23" s="228"/>
      <c r="G23" s="228"/>
      <c r="H23" s="228"/>
      <c r="I23" s="228"/>
      <c r="J23" s="228"/>
      <c r="K23" s="228"/>
      <c r="L23" s="228"/>
      <c r="M23" s="228"/>
      <c r="N23" s="228"/>
    </row>
    <row r="24" spans="1:14" x14ac:dyDescent="0.25">
      <c r="A24" s="142" t="s">
        <v>89</v>
      </c>
      <c r="B24" s="126" t="s">
        <v>90</v>
      </c>
      <c r="C24" s="228"/>
      <c r="D24" s="228"/>
      <c r="E24" s="228"/>
      <c r="F24" s="228"/>
      <c r="G24" s="228"/>
      <c r="H24" s="228"/>
      <c r="I24" s="228"/>
      <c r="J24" s="228"/>
      <c r="K24" s="228"/>
      <c r="L24" s="228"/>
      <c r="M24" s="228"/>
      <c r="N24" s="228"/>
    </row>
    <row r="25" spans="1:14" x14ac:dyDescent="0.25">
      <c r="A25" s="142" t="s">
        <v>91</v>
      </c>
      <c r="B25" s="126" t="s">
        <v>92</v>
      </c>
      <c r="C25" s="228"/>
      <c r="D25" s="228"/>
      <c r="E25" s="228"/>
      <c r="F25" s="228"/>
      <c r="G25" s="228"/>
      <c r="H25" s="228"/>
      <c r="I25" s="228"/>
      <c r="J25" s="228"/>
      <c r="K25" s="228"/>
      <c r="L25" s="228"/>
      <c r="M25" s="228"/>
      <c r="N25" s="228"/>
    </row>
    <row r="26" spans="1:14" x14ac:dyDescent="0.25">
      <c r="A26" s="147" t="s">
        <v>94</v>
      </c>
      <c r="B26" s="141" t="s">
        <v>95</v>
      </c>
      <c r="C26" s="230"/>
      <c r="D26" s="230"/>
      <c r="E26" s="230"/>
      <c r="F26" s="230"/>
      <c r="G26" s="230"/>
      <c r="H26" s="230"/>
      <c r="I26" s="230"/>
      <c r="J26" s="230"/>
      <c r="K26" s="230"/>
      <c r="L26" s="230"/>
      <c r="M26" s="230"/>
      <c r="N26" s="230"/>
    </row>
    <row r="27" spans="1:14" ht="45" x14ac:dyDescent="0.25">
      <c r="A27" s="142" t="s">
        <v>96</v>
      </c>
      <c r="B27" s="148" t="s">
        <v>97</v>
      </c>
      <c r="C27" s="149" t="s">
        <v>253</v>
      </c>
      <c r="D27" s="149" t="s">
        <v>253</v>
      </c>
      <c r="E27" s="149" t="s">
        <v>253</v>
      </c>
      <c r="F27" s="149" t="s">
        <v>253</v>
      </c>
      <c r="G27" s="149" t="s">
        <v>254</v>
      </c>
      <c r="H27" s="149" t="s">
        <v>255</v>
      </c>
      <c r="I27" s="149" t="s">
        <v>256</v>
      </c>
      <c r="J27" s="149" t="s">
        <v>257</v>
      </c>
      <c r="K27" s="149" t="s">
        <v>257</v>
      </c>
      <c r="L27" s="150" t="s">
        <v>272</v>
      </c>
      <c r="M27" s="151" t="s">
        <v>267</v>
      </c>
      <c r="N27" s="151" t="s">
        <v>268</v>
      </c>
    </row>
    <row r="28" spans="1:14" x14ac:dyDescent="0.25">
      <c r="A28" s="152" t="s">
        <v>98</v>
      </c>
      <c r="B28" s="126" t="s">
        <v>99</v>
      </c>
      <c r="C28" s="229" t="s">
        <v>250</v>
      </c>
      <c r="D28" s="229"/>
      <c r="E28" s="229"/>
      <c r="F28" s="229"/>
      <c r="G28" s="229"/>
      <c r="H28" s="229"/>
      <c r="I28" s="229"/>
      <c r="J28" s="229"/>
      <c r="K28" s="229"/>
      <c r="L28" s="229"/>
      <c r="M28" s="229"/>
      <c r="N28" s="229"/>
    </row>
    <row r="29" spans="1:14" x14ac:dyDescent="0.25">
      <c r="A29" s="152" t="s">
        <v>100</v>
      </c>
      <c r="B29" s="126" t="s">
        <v>101</v>
      </c>
      <c r="C29" s="229"/>
      <c r="D29" s="229"/>
      <c r="E29" s="229"/>
      <c r="F29" s="229"/>
      <c r="G29" s="229"/>
      <c r="H29" s="229"/>
      <c r="I29" s="229"/>
      <c r="J29" s="229"/>
      <c r="K29" s="229"/>
      <c r="L29" s="229"/>
      <c r="M29" s="229"/>
      <c r="N29" s="229"/>
    </row>
    <row r="30" spans="1:14" ht="72" customHeight="1" x14ac:dyDescent="0.25">
      <c r="A30" s="152" t="s">
        <v>102</v>
      </c>
      <c r="B30" s="153" t="s">
        <v>103</v>
      </c>
      <c r="C30" s="229"/>
      <c r="D30" s="229"/>
      <c r="E30" s="229"/>
      <c r="F30" s="229"/>
      <c r="G30" s="229"/>
      <c r="H30" s="229"/>
      <c r="I30" s="229"/>
      <c r="J30" s="229"/>
      <c r="K30" s="229"/>
      <c r="L30" s="229"/>
      <c r="M30" s="229"/>
      <c r="N30" s="229"/>
    </row>
    <row r="31" spans="1:14" x14ac:dyDescent="0.25">
      <c r="A31" s="152" t="s">
        <v>104</v>
      </c>
      <c r="B31" s="143" t="s">
        <v>105</v>
      </c>
      <c r="C31" s="229"/>
      <c r="D31" s="229"/>
      <c r="E31" s="229"/>
      <c r="F31" s="229"/>
      <c r="G31" s="229"/>
      <c r="H31" s="229"/>
      <c r="I31" s="229"/>
      <c r="J31" s="229"/>
      <c r="K31" s="229"/>
      <c r="L31" s="229"/>
      <c r="M31" s="229"/>
      <c r="N31" s="229"/>
    </row>
    <row r="32" spans="1:14" ht="45" customHeight="1" x14ac:dyDescent="0.25">
      <c r="A32" s="152" t="s">
        <v>106</v>
      </c>
      <c r="B32" s="143" t="s">
        <v>107</v>
      </c>
      <c r="C32" s="229"/>
      <c r="D32" s="229"/>
      <c r="E32" s="229"/>
      <c r="F32" s="229"/>
      <c r="G32" s="229"/>
      <c r="H32" s="229"/>
      <c r="I32" s="229"/>
      <c r="J32" s="229"/>
      <c r="K32" s="229"/>
      <c r="L32" s="229"/>
      <c r="M32" s="229"/>
      <c r="N32" s="229"/>
    </row>
    <row r="33" spans="1:14" ht="90" customHeight="1" x14ac:dyDescent="0.25">
      <c r="A33" s="152" t="s">
        <v>108</v>
      </c>
      <c r="B33" s="143" t="s">
        <v>109</v>
      </c>
      <c r="C33" s="229"/>
      <c r="D33" s="229"/>
      <c r="E33" s="229"/>
      <c r="F33" s="229"/>
      <c r="G33" s="229"/>
      <c r="H33" s="229"/>
      <c r="I33" s="229"/>
      <c r="J33" s="229"/>
      <c r="K33" s="229"/>
      <c r="L33" s="229"/>
      <c r="M33" s="229"/>
      <c r="N33" s="229"/>
    </row>
    <row r="34" spans="1:14" x14ac:dyDescent="0.25">
      <c r="A34" s="152" t="s">
        <v>110</v>
      </c>
      <c r="B34" s="143" t="s">
        <v>111</v>
      </c>
      <c r="C34" s="229"/>
      <c r="D34" s="229"/>
      <c r="E34" s="229"/>
      <c r="F34" s="229"/>
      <c r="G34" s="229"/>
      <c r="H34" s="229"/>
      <c r="I34" s="229"/>
      <c r="J34" s="229"/>
      <c r="K34" s="229"/>
      <c r="L34" s="229"/>
      <c r="M34" s="229"/>
      <c r="N34" s="229"/>
    </row>
    <row r="35" spans="1:14" x14ac:dyDescent="0.25">
      <c r="A35" s="152" t="s">
        <v>112</v>
      </c>
      <c r="B35" s="143" t="s">
        <v>111</v>
      </c>
      <c r="C35" s="229"/>
      <c r="D35" s="229"/>
      <c r="E35" s="229"/>
      <c r="F35" s="229"/>
      <c r="G35" s="229"/>
      <c r="H35" s="229"/>
      <c r="I35" s="229"/>
      <c r="J35" s="229"/>
      <c r="K35" s="229"/>
      <c r="L35" s="229"/>
      <c r="M35" s="229"/>
      <c r="N35" s="229"/>
    </row>
    <row r="36" spans="1:14" x14ac:dyDescent="0.25">
      <c r="A36" s="147" t="s">
        <v>113</v>
      </c>
      <c r="B36" s="141" t="s">
        <v>114</v>
      </c>
      <c r="C36" s="230"/>
      <c r="D36" s="230"/>
      <c r="E36" s="230"/>
      <c r="F36" s="230"/>
      <c r="G36" s="230"/>
      <c r="H36" s="230"/>
      <c r="I36" s="230"/>
      <c r="J36" s="230"/>
      <c r="K36" s="230"/>
      <c r="L36" s="230"/>
      <c r="M36" s="230"/>
      <c r="N36" s="230"/>
    </row>
    <row r="37" spans="1:14" ht="19.5" customHeight="1" x14ac:dyDescent="0.25">
      <c r="A37" s="152" t="s">
        <v>115</v>
      </c>
      <c r="B37" s="143" t="s">
        <v>116</v>
      </c>
      <c r="C37" s="231" t="s">
        <v>352</v>
      </c>
      <c r="D37" s="231"/>
      <c r="E37" s="231"/>
      <c r="F37" s="231"/>
      <c r="G37" s="231"/>
      <c r="H37" s="231"/>
      <c r="I37" s="231"/>
      <c r="J37" s="231"/>
      <c r="K37" s="231"/>
      <c r="L37" s="231"/>
      <c r="M37" s="231"/>
      <c r="N37" s="231"/>
    </row>
    <row r="38" spans="1:14" x14ac:dyDescent="0.25">
      <c r="A38" s="152" t="s">
        <v>117</v>
      </c>
      <c r="B38" s="143" t="s">
        <v>118</v>
      </c>
      <c r="C38" s="228" t="s">
        <v>250</v>
      </c>
      <c r="D38" s="228"/>
      <c r="E38" s="228"/>
      <c r="F38" s="228"/>
      <c r="G38" s="228"/>
      <c r="H38" s="228"/>
      <c r="I38" s="228"/>
      <c r="J38" s="228"/>
      <c r="K38" s="228"/>
      <c r="L38" s="228"/>
      <c r="M38" s="228"/>
      <c r="N38" s="228"/>
    </row>
    <row r="39" spans="1:14" ht="15" customHeight="1" x14ac:dyDescent="0.25">
      <c r="A39" s="152" t="s">
        <v>119</v>
      </c>
      <c r="B39" s="143" t="s">
        <v>120</v>
      </c>
      <c r="C39" s="232" t="s">
        <v>352</v>
      </c>
      <c r="D39" s="232"/>
      <c r="E39" s="232"/>
      <c r="F39" s="232"/>
      <c r="G39" s="232"/>
      <c r="H39" s="232"/>
      <c r="I39" s="232"/>
      <c r="J39" s="232"/>
      <c r="K39" s="232"/>
      <c r="L39" s="232"/>
      <c r="M39" s="232"/>
      <c r="N39" s="232"/>
    </row>
    <row r="40" spans="1:14" ht="120" customHeight="1" x14ac:dyDescent="0.25">
      <c r="A40" s="152" t="s">
        <v>122</v>
      </c>
      <c r="B40" s="143" t="s">
        <v>123</v>
      </c>
      <c r="C40" s="232"/>
      <c r="D40" s="232"/>
      <c r="E40" s="232"/>
      <c r="F40" s="232"/>
      <c r="G40" s="232"/>
      <c r="H40" s="232"/>
      <c r="I40" s="232"/>
      <c r="J40" s="232"/>
      <c r="K40" s="232"/>
      <c r="L40" s="232"/>
      <c r="M40" s="232"/>
      <c r="N40" s="232"/>
    </row>
    <row r="41" spans="1:14" ht="45" customHeight="1" x14ac:dyDescent="0.25">
      <c r="A41" s="152" t="s">
        <v>124</v>
      </c>
      <c r="B41" s="143" t="s">
        <v>125</v>
      </c>
      <c r="C41" s="232"/>
      <c r="D41" s="232"/>
      <c r="E41" s="232"/>
      <c r="F41" s="232"/>
      <c r="G41" s="232"/>
      <c r="H41" s="232"/>
      <c r="I41" s="232"/>
      <c r="J41" s="232"/>
      <c r="K41" s="232"/>
      <c r="L41" s="232"/>
      <c r="M41" s="232"/>
      <c r="N41" s="232"/>
    </row>
    <row r="42" spans="1:14" ht="60" customHeight="1" x14ac:dyDescent="0.25">
      <c r="A42" s="152" t="s">
        <v>126</v>
      </c>
      <c r="B42" s="143" t="s">
        <v>127</v>
      </c>
      <c r="C42" s="232"/>
      <c r="D42" s="232"/>
      <c r="E42" s="232"/>
      <c r="F42" s="232"/>
      <c r="G42" s="232"/>
      <c r="H42" s="232"/>
      <c r="I42" s="232"/>
      <c r="J42" s="232"/>
      <c r="K42" s="232"/>
      <c r="L42" s="232"/>
      <c r="M42" s="232"/>
      <c r="N42" s="232"/>
    </row>
    <row r="43" spans="1:14" ht="45" customHeight="1" x14ac:dyDescent="0.25">
      <c r="A43" s="152" t="s">
        <v>128</v>
      </c>
      <c r="B43" s="143" t="s">
        <v>129</v>
      </c>
      <c r="C43" s="232"/>
      <c r="D43" s="232"/>
      <c r="E43" s="232"/>
      <c r="F43" s="232"/>
      <c r="G43" s="232"/>
      <c r="H43" s="232"/>
      <c r="I43" s="232"/>
      <c r="J43" s="232"/>
      <c r="K43" s="232"/>
      <c r="L43" s="232"/>
      <c r="M43" s="232"/>
      <c r="N43" s="232"/>
    </row>
    <row r="44" spans="1:14" ht="100.5" customHeight="1" x14ac:dyDescent="0.25">
      <c r="A44" s="152" t="s">
        <v>130</v>
      </c>
      <c r="B44" s="153" t="s">
        <v>131</v>
      </c>
      <c r="C44" s="232"/>
      <c r="D44" s="232"/>
      <c r="E44" s="232"/>
      <c r="F44" s="232"/>
      <c r="G44" s="232"/>
      <c r="H44" s="232"/>
      <c r="I44" s="232"/>
      <c r="J44" s="232"/>
      <c r="K44" s="232"/>
      <c r="L44" s="232"/>
      <c r="M44" s="232"/>
      <c r="N44" s="232"/>
    </row>
    <row r="45" spans="1:14" x14ac:dyDescent="0.25">
      <c r="A45" s="152" t="s">
        <v>132</v>
      </c>
      <c r="B45" s="143" t="s">
        <v>133</v>
      </c>
      <c r="C45" s="232"/>
      <c r="D45" s="232"/>
      <c r="E45" s="232"/>
      <c r="F45" s="232"/>
      <c r="G45" s="232"/>
      <c r="H45" s="232"/>
      <c r="I45" s="232"/>
      <c r="J45" s="232"/>
      <c r="K45" s="232"/>
      <c r="L45" s="232"/>
      <c r="M45" s="232"/>
      <c r="N45" s="232"/>
    </row>
    <row r="46" spans="1:14" x14ac:dyDescent="0.25">
      <c r="A46" s="152" t="s">
        <v>134</v>
      </c>
      <c r="B46" s="143" t="s">
        <v>135</v>
      </c>
      <c r="C46" s="232"/>
      <c r="D46" s="232"/>
      <c r="E46" s="232"/>
      <c r="F46" s="232"/>
      <c r="G46" s="232"/>
      <c r="H46" s="232"/>
      <c r="I46" s="232"/>
      <c r="J46" s="232"/>
      <c r="K46" s="232"/>
      <c r="L46" s="232"/>
      <c r="M46" s="232"/>
      <c r="N46" s="232"/>
    </row>
    <row r="47" spans="1:14" ht="90" customHeight="1" x14ac:dyDescent="0.25">
      <c r="A47" s="152" t="s">
        <v>136</v>
      </c>
      <c r="B47" s="143" t="s">
        <v>137</v>
      </c>
      <c r="C47" s="232"/>
      <c r="D47" s="232"/>
      <c r="E47" s="232"/>
      <c r="F47" s="232"/>
      <c r="G47" s="232"/>
      <c r="H47" s="232"/>
      <c r="I47" s="232"/>
      <c r="J47" s="232"/>
      <c r="K47" s="232"/>
      <c r="L47" s="232"/>
      <c r="M47" s="232"/>
      <c r="N47" s="232"/>
    </row>
    <row r="48" spans="1:14" ht="30" customHeight="1" x14ac:dyDescent="0.25">
      <c r="A48" s="152" t="s">
        <v>138</v>
      </c>
      <c r="B48" s="143" t="s">
        <v>139</v>
      </c>
      <c r="C48" s="232"/>
      <c r="D48" s="232"/>
      <c r="E48" s="232"/>
      <c r="F48" s="232"/>
      <c r="G48" s="232"/>
      <c r="H48" s="232"/>
      <c r="I48" s="232"/>
      <c r="J48" s="232"/>
      <c r="K48" s="232"/>
      <c r="L48" s="232"/>
      <c r="M48" s="232"/>
      <c r="N48" s="232"/>
    </row>
    <row r="49" spans="1:14" ht="30" customHeight="1" x14ac:dyDescent="0.25">
      <c r="A49" s="152" t="s">
        <v>140</v>
      </c>
      <c r="B49" s="143" t="s">
        <v>141</v>
      </c>
      <c r="C49" s="232"/>
      <c r="D49" s="232"/>
      <c r="E49" s="232"/>
      <c r="F49" s="232"/>
      <c r="G49" s="232"/>
      <c r="H49" s="232"/>
      <c r="I49" s="232"/>
      <c r="J49" s="232"/>
      <c r="K49" s="232"/>
      <c r="L49" s="232"/>
      <c r="M49" s="232"/>
      <c r="N49" s="232"/>
    </row>
    <row r="50" spans="1:14" ht="30" customHeight="1" x14ac:dyDescent="0.25">
      <c r="A50" s="152" t="s">
        <v>142</v>
      </c>
      <c r="B50" s="143" t="s">
        <v>143</v>
      </c>
      <c r="C50" s="232"/>
      <c r="D50" s="232"/>
      <c r="E50" s="232"/>
      <c r="F50" s="232"/>
      <c r="G50" s="232"/>
      <c r="H50" s="232"/>
      <c r="I50" s="232"/>
      <c r="J50" s="232"/>
      <c r="K50" s="232"/>
      <c r="L50" s="232"/>
      <c r="M50" s="232"/>
      <c r="N50" s="232"/>
    </row>
    <row r="51" spans="1:14" ht="29.25" customHeight="1" x14ac:dyDescent="0.25">
      <c r="A51" s="152" t="s">
        <v>144</v>
      </c>
      <c r="B51" s="153" t="s">
        <v>145</v>
      </c>
      <c r="C51" s="229" t="s">
        <v>249</v>
      </c>
      <c r="D51" s="229"/>
      <c r="E51" s="229"/>
      <c r="F51" s="229"/>
      <c r="G51" s="229"/>
      <c r="H51" s="229"/>
      <c r="I51" s="229"/>
      <c r="J51" s="229"/>
      <c r="K51" s="229"/>
      <c r="L51" s="229"/>
      <c r="M51" s="229"/>
      <c r="N51" s="229"/>
    </row>
    <row r="52" spans="1:14" ht="60" customHeight="1" x14ac:dyDescent="0.25">
      <c r="A52" s="152" t="s">
        <v>146</v>
      </c>
      <c r="B52" s="143" t="s">
        <v>147</v>
      </c>
      <c r="C52" s="229"/>
      <c r="D52" s="229"/>
      <c r="E52" s="229"/>
      <c r="F52" s="229"/>
      <c r="G52" s="229"/>
      <c r="H52" s="229"/>
      <c r="I52" s="229"/>
      <c r="J52" s="229"/>
      <c r="K52" s="229"/>
      <c r="L52" s="229"/>
      <c r="M52" s="229"/>
      <c r="N52" s="229"/>
    </row>
    <row r="53" spans="1:14" ht="45" customHeight="1" x14ac:dyDescent="0.25">
      <c r="A53" s="152" t="s">
        <v>148</v>
      </c>
      <c r="B53" s="143" t="s">
        <v>149</v>
      </c>
      <c r="C53" s="229"/>
      <c r="D53" s="229"/>
      <c r="E53" s="229"/>
      <c r="F53" s="229"/>
      <c r="G53" s="229"/>
      <c r="H53" s="229"/>
      <c r="I53" s="229"/>
      <c r="J53" s="229"/>
      <c r="K53" s="229"/>
      <c r="L53" s="229"/>
      <c r="M53" s="229"/>
      <c r="N53" s="229"/>
    </row>
    <row r="54" spans="1:14" x14ac:dyDescent="0.25">
      <c r="A54" s="152" t="s">
        <v>150</v>
      </c>
      <c r="B54" s="143" t="s">
        <v>111</v>
      </c>
      <c r="C54" s="229"/>
      <c r="D54" s="229"/>
      <c r="E54" s="229"/>
      <c r="F54" s="229"/>
      <c r="G54" s="229"/>
      <c r="H54" s="229"/>
      <c r="I54" s="229"/>
      <c r="J54" s="229"/>
      <c r="K54" s="229"/>
      <c r="L54" s="229"/>
      <c r="M54" s="229"/>
      <c r="N54" s="229"/>
    </row>
    <row r="55" spans="1:14" x14ac:dyDescent="0.25">
      <c r="A55" s="147" t="s">
        <v>151</v>
      </c>
      <c r="B55" s="141" t="s">
        <v>152</v>
      </c>
      <c r="C55" s="230"/>
      <c r="D55" s="230"/>
      <c r="E55" s="230"/>
      <c r="F55" s="230"/>
      <c r="G55" s="230"/>
      <c r="H55" s="230"/>
      <c r="I55" s="230"/>
      <c r="J55" s="230"/>
      <c r="K55" s="230"/>
      <c r="L55" s="230"/>
      <c r="M55" s="230"/>
      <c r="N55" s="230"/>
    </row>
    <row r="56" spans="1:14" ht="24.75" customHeight="1" x14ac:dyDescent="0.25">
      <c r="A56" s="152" t="s">
        <v>153</v>
      </c>
      <c r="B56" s="143" t="s">
        <v>154</v>
      </c>
      <c r="C56" s="238" t="s">
        <v>250</v>
      </c>
      <c r="D56" s="239"/>
      <c r="E56" s="239"/>
      <c r="F56" s="239"/>
      <c r="G56" s="239"/>
      <c r="H56" s="239"/>
      <c r="I56" s="239"/>
      <c r="J56" s="239"/>
      <c r="K56" s="239"/>
      <c r="L56" s="239"/>
      <c r="M56" s="239"/>
      <c r="N56" s="240"/>
    </row>
    <row r="57" spans="1:14" ht="32.25" customHeight="1" x14ac:dyDescent="0.25">
      <c r="A57" s="152" t="s">
        <v>155</v>
      </c>
      <c r="B57" s="143" t="s">
        <v>156</v>
      </c>
      <c r="C57" s="238" t="s">
        <v>249</v>
      </c>
      <c r="D57" s="239"/>
      <c r="E57" s="239"/>
      <c r="F57" s="239"/>
      <c r="G57" s="239"/>
      <c r="H57" s="239"/>
      <c r="I57" s="239"/>
      <c r="J57" s="239"/>
      <c r="K57" s="239"/>
      <c r="L57" s="239"/>
      <c r="M57" s="239"/>
      <c r="N57" s="240"/>
    </row>
    <row r="58" spans="1:14" ht="15.75" x14ac:dyDescent="0.25">
      <c r="A58" s="152" t="s">
        <v>157</v>
      </c>
      <c r="B58" s="143" t="s">
        <v>158</v>
      </c>
      <c r="C58" s="237" t="s">
        <v>258</v>
      </c>
      <c r="D58" s="237"/>
      <c r="E58" s="233" t="s">
        <v>259</v>
      </c>
      <c r="F58" s="233"/>
      <c r="G58" s="233" t="s">
        <v>260</v>
      </c>
      <c r="H58" s="233"/>
      <c r="I58" s="233" t="s">
        <v>261</v>
      </c>
      <c r="J58" s="233"/>
      <c r="K58" s="154" t="s">
        <v>262</v>
      </c>
      <c r="L58" s="155" t="s">
        <v>271</v>
      </c>
      <c r="M58" s="156" t="s">
        <v>269</v>
      </c>
      <c r="N58" s="156" t="s">
        <v>270</v>
      </c>
    </row>
    <row r="59" spans="1:14" ht="60" customHeight="1" x14ac:dyDescent="0.25">
      <c r="A59" s="152" t="s">
        <v>159</v>
      </c>
      <c r="B59" s="143" t="s">
        <v>160</v>
      </c>
      <c r="C59" s="229" t="s">
        <v>263</v>
      </c>
      <c r="D59" s="229"/>
      <c r="E59" s="229"/>
      <c r="F59" s="229"/>
      <c r="G59" s="229"/>
      <c r="H59" s="229"/>
      <c r="I59" s="229"/>
      <c r="J59" s="229"/>
      <c r="K59" s="229"/>
      <c r="L59" s="229"/>
      <c r="M59" s="229"/>
      <c r="N59" s="229"/>
    </row>
    <row r="60" spans="1:14" ht="15.75" customHeight="1" x14ac:dyDescent="0.25">
      <c r="A60" s="152" t="s">
        <v>161</v>
      </c>
      <c r="B60" s="143" t="s">
        <v>162</v>
      </c>
      <c r="C60" s="233" t="s">
        <v>264</v>
      </c>
      <c r="D60" s="233"/>
      <c r="E60" s="233" t="s">
        <v>264</v>
      </c>
      <c r="F60" s="233"/>
      <c r="G60" s="233"/>
      <c r="H60" s="233"/>
      <c r="I60" s="233" t="s">
        <v>261</v>
      </c>
      <c r="J60" s="233"/>
      <c r="K60" s="234" t="s">
        <v>262</v>
      </c>
      <c r="L60" s="234" t="s">
        <v>271</v>
      </c>
      <c r="M60" s="235" t="s">
        <v>269</v>
      </c>
      <c r="N60" s="235" t="s">
        <v>270</v>
      </c>
    </row>
    <row r="61" spans="1:14" ht="15.75" customHeight="1" x14ac:dyDescent="0.25">
      <c r="A61" s="152" t="s">
        <v>163</v>
      </c>
      <c r="B61" s="143" t="s">
        <v>164</v>
      </c>
      <c r="C61" s="233"/>
      <c r="D61" s="233"/>
      <c r="E61" s="233"/>
      <c r="F61" s="233"/>
      <c r="G61" s="233"/>
      <c r="H61" s="233"/>
      <c r="I61" s="233"/>
      <c r="J61" s="233"/>
      <c r="K61" s="234"/>
      <c r="L61" s="234"/>
      <c r="M61" s="236"/>
      <c r="N61" s="236"/>
    </row>
    <row r="62" spans="1:14" x14ac:dyDescent="0.25">
      <c r="A62" s="142" t="s">
        <v>165</v>
      </c>
      <c r="B62" s="157" t="s">
        <v>111</v>
      </c>
      <c r="C62" s="229" t="s">
        <v>250</v>
      </c>
      <c r="D62" s="229"/>
      <c r="E62" s="229"/>
      <c r="F62" s="229"/>
      <c r="G62" s="229"/>
      <c r="H62" s="229"/>
      <c r="I62" s="229"/>
      <c r="J62" s="229"/>
      <c r="K62" s="229"/>
      <c r="L62" s="229"/>
      <c r="M62" s="229"/>
      <c r="N62" s="229"/>
    </row>
    <row r="63" spans="1:14" ht="30" x14ac:dyDescent="0.25">
      <c r="A63" s="140" t="s">
        <v>166</v>
      </c>
      <c r="B63" s="141" t="s">
        <v>167</v>
      </c>
      <c r="C63" s="230"/>
      <c r="D63" s="230"/>
      <c r="E63" s="230"/>
      <c r="F63" s="230"/>
      <c r="G63" s="230"/>
      <c r="H63" s="230"/>
      <c r="I63" s="230"/>
      <c r="J63" s="230"/>
      <c r="K63" s="230"/>
      <c r="L63" s="230"/>
      <c r="M63" s="230"/>
      <c r="N63" s="230"/>
    </row>
    <row r="64" spans="1:14" x14ac:dyDescent="0.25">
      <c r="A64" s="152" t="s">
        <v>168</v>
      </c>
      <c r="B64" s="143" t="s">
        <v>169</v>
      </c>
      <c r="C64" s="229" t="s">
        <v>250</v>
      </c>
      <c r="D64" s="229"/>
      <c r="E64" s="229"/>
      <c r="F64" s="229"/>
      <c r="G64" s="229"/>
      <c r="H64" s="229"/>
      <c r="I64" s="229"/>
      <c r="J64" s="229"/>
      <c r="K64" s="229"/>
      <c r="L64" s="229"/>
      <c r="M64" s="229"/>
      <c r="N64" s="229"/>
    </row>
    <row r="65" spans="1:14" ht="30" customHeight="1" x14ac:dyDescent="0.25">
      <c r="A65" s="152" t="s">
        <v>170</v>
      </c>
      <c r="B65" s="143" t="s">
        <v>171</v>
      </c>
      <c r="C65" s="229"/>
      <c r="D65" s="229"/>
      <c r="E65" s="229"/>
      <c r="F65" s="229"/>
      <c r="G65" s="229"/>
      <c r="H65" s="229"/>
      <c r="I65" s="229"/>
      <c r="J65" s="229"/>
      <c r="K65" s="229"/>
      <c r="L65" s="229"/>
      <c r="M65" s="229"/>
      <c r="N65" s="229"/>
    </row>
    <row r="66" spans="1:14" x14ac:dyDescent="0.25">
      <c r="A66" s="152" t="s">
        <v>172</v>
      </c>
      <c r="B66" s="143" t="s">
        <v>173</v>
      </c>
      <c r="C66" s="228" t="s">
        <v>263</v>
      </c>
      <c r="D66" s="228"/>
      <c r="E66" s="228"/>
      <c r="F66" s="228"/>
      <c r="G66" s="228"/>
      <c r="H66" s="228"/>
      <c r="I66" s="228"/>
      <c r="J66" s="228"/>
      <c r="K66" s="228"/>
      <c r="L66" s="228"/>
      <c r="M66" s="228"/>
      <c r="N66" s="228"/>
    </row>
    <row r="67" spans="1:14" x14ac:dyDescent="0.25">
      <c r="A67" s="152" t="s">
        <v>174</v>
      </c>
      <c r="B67" s="143" t="s">
        <v>175</v>
      </c>
      <c r="C67" s="231" t="s">
        <v>353</v>
      </c>
      <c r="D67" s="231"/>
      <c r="E67" s="231"/>
      <c r="F67" s="231"/>
      <c r="G67" s="231"/>
      <c r="H67" s="231"/>
      <c r="I67" s="231"/>
      <c r="J67" s="231"/>
      <c r="K67" s="231"/>
      <c r="L67" s="231"/>
      <c r="M67" s="231"/>
      <c r="N67" s="231"/>
    </row>
    <row r="68" spans="1:14" x14ac:dyDescent="0.25">
      <c r="A68" s="152" t="s">
        <v>176</v>
      </c>
      <c r="B68" s="153" t="s">
        <v>177</v>
      </c>
      <c r="C68" s="228" t="s">
        <v>249</v>
      </c>
      <c r="D68" s="228"/>
      <c r="E68" s="228"/>
      <c r="F68" s="228"/>
      <c r="G68" s="228"/>
      <c r="H68" s="228"/>
      <c r="I68" s="228"/>
      <c r="J68" s="228"/>
      <c r="K68" s="228"/>
      <c r="L68" s="228"/>
      <c r="M68" s="228"/>
      <c r="N68" s="228"/>
    </row>
    <row r="69" spans="1:14" ht="75" customHeight="1" x14ac:dyDescent="0.25">
      <c r="A69" s="158" t="s">
        <v>178</v>
      </c>
      <c r="B69" s="143" t="s">
        <v>179</v>
      </c>
      <c r="C69" s="228"/>
      <c r="D69" s="228"/>
      <c r="E69" s="228"/>
      <c r="F69" s="228"/>
      <c r="G69" s="228"/>
      <c r="H69" s="228"/>
      <c r="I69" s="228"/>
      <c r="J69" s="228"/>
      <c r="K69" s="228"/>
      <c r="L69" s="228"/>
      <c r="M69" s="228"/>
      <c r="N69" s="228"/>
    </row>
    <row r="70" spans="1:14" ht="45" customHeight="1" x14ac:dyDescent="0.25">
      <c r="A70" s="158" t="s">
        <v>180</v>
      </c>
      <c r="B70" s="143" t="s">
        <v>181</v>
      </c>
      <c r="C70" s="228"/>
      <c r="D70" s="228"/>
      <c r="E70" s="228"/>
      <c r="F70" s="228"/>
      <c r="G70" s="228"/>
      <c r="H70" s="228"/>
      <c r="I70" s="228"/>
      <c r="J70" s="228"/>
      <c r="K70" s="228"/>
      <c r="L70" s="228"/>
      <c r="M70" s="228"/>
      <c r="N70" s="228"/>
    </row>
    <row r="71" spans="1:14" ht="30" customHeight="1" x14ac:dyDescent="0.25">
      <c r="A71" s="158" t="s">
        <v>182</v>
      </c>
      <c r="B71" s="143" t="s">
        <v>183</v>
      </c>
      <c r="C71" s="228"/>
      <c r="D71" s="228"/>
      <c r="E71" s="228"/>
      <c r="F71" s="228"/>
      <c r="G71" s="228"/>
      <c r="H71" s="228"/>
      <c r="I71" s="228"/>
      <c r="J71" s="228"/>
      <c r="K71" s="228"/>
      <c r="L71" s="228"/>
      <c r="M71" s="228"/>
      <c r="N71" s="228"/>
    </row>
    <row r="72" spans="1:14" ht="45" customHeight="1" x14ac:dyDescent="0.25">
      <c r="A72" s="158" t="s">
        <v>184</v>
      </c>
      <c r="B72" s="143" t="s">
        <v>185</v>
      </c>
      <c r="C72" s="228"/>
      <c r="D72" s="228"/>
      <c r="E72" s="228"/>
      <c r="F72" s="228"/>
      <c r="G72" s="228"/>
      <c r="H72" s="228"/>
      <c r="I72" s="228"/>
      <c r="J72" s="228"/>
      <c r="K72" s="228"/>
      <c r="L72" s="228"/>
      <c r="M72" s="228"/>
      <c r="N72" s="228"/>
    </row>
    <row r="73" spans="1:14" x14ac:dyDescent="0.25">
      <c r="A73" s="158" t="s">
        <v>186</v>
      </c>
      <c r="B73" s="143" t="s">
        <v>111</v>
      </c>
      <c r="C73" s="228"/>
      <c r="D73" s="228"/>
      <c r="E73" s="228"/>
      <c r="F73" s="228"/>
      <c r="G73" s="228"/>
      <c r="H73" s="228"/>
      <c r="I73" s="228"/>
      <c r="J73" s="228"/>
      <c r="K73" s="228"/>
      <c r="L73" s="228"/>
      <c r="M73" s="228"/>
      <c r="N73" s="228"/>
    </row>
    <row r="74" spans="1:14" ht="69.75" customHeight="1" x14ac:dyDescent="0.25">
      <c r="A74" s="147" t="s">
        <v>187</v>
      </c>
      <c r="B74" s="141" t="s">
        <v>188</v>
      </c>
      <c r="C74" s="228"/>
      <c r="D74" s="228"/>
      <c r="E74" s="228"/>
      <c r="F74" s="228"/>
      <c r="G74" s="228"/>
      <c r="H74" s="228"/>
      <c r="I74" s="228"/>
      <c r="J74" s="228"/>
      <c r="K74" s="228"/>
      <c r="L74" s="228"/>
      <c r="M74" s="228"/>
      <c r="N74" s="228"/>
    </row>
    <row r="75" spans="1:14" ht="75" customHeight="1" x14ac:dyDescent="0.25">
      <c r="A75" s="152" t="s">
        <v>189</v>
      </c>
      <c r="B75" s="143" t="s">
        <v>190</v>
      </c>
      <c r="C75" s="228"/>
      <c r="D75" s="228"/>
      <c r="E75" s="228"/>
      <c r="F75" s="228"/>
      <c r="G75" s="228"/>
      <c r="H75" s="228"/>
      <c r="I75" s="228"/>
      <c r="J75" s="228"/>
      <c r="K75" s="228"/>
      <c r="L75" s="228"/>
      <c r="M75" s="228"/>
      <c r="N75" s="228"/>
    </row>
    <row r="76" spans="1:14" ht="90" customHeight="1" x14ac:dyDescent="0.25">
      <c r="A76" s="152" t="s">
        <v>191</v>
      </c>
      <c r="B76" s="143" t="s">
        <v>192</v>
      </c>
      <c r="C76" s="228"/>
      <c r="D76" s="228"/>
      <c r="E76" s="228"/>
      <c r="F76" s="228"/>
      <c r="G76" s="228"/>
      <c r="H76" s="228"/>
      <c r="I76" s="228"/>
      <c r="J76" s="228"/>
      <c r="K76" s="228"/>
      <c r="L76" s="228"/>
      <c r="M76" s="228"/>
      <c r="N76" s="228"/>
    </row>
    <row r="77" spans="1:14" ht="60" customHeight="1" x14ac:dyDescent="0.25">
      <c r="A77" s="152" t="s">
        <v>193</v>
      </c>
      <c r="B77" s="143" t="s">
        <v>194</v>
      </c>
      <c r="C77" s="228"/>
      <c r="D77" s="228"/>
      <c r="E77" s="228"/>
      <c r="F77" s="228"/>
      <c r="G77" s="228"/>
      <c r="H77" s="228"/>
      <c r="I77" s="228"/>
      <c r="J77" s="228"/>
      <c r="K77" s="228"/>
      <c r="L77" s="228"/>
      <c r="M77" s="228"/>
      <c r="N77" s="228"/>
    </row>
    <row r="78" spans="1:14" ht="45" customHeight="1" x14ac:dyDescent="0.25">
      <c r="A78" s="152" t="s">
        <v>195</v>
      </c>
      <c r="B78" s="143" t="s">
        <v>196</v>
      </c>
      <c r="C78" s="228"/>
      <c r="D78" s="228"/>
      <c r="E78" s="228"/>
      <c r="F78" s="228"/>
      <c r="G78" s="228"/>
      <c r="H78" s="228"/>
      <c r="I78" s="228"/>
      <c r="J78" s="228"/>
      <c r="K78" s="228"/>
      <c r="L78" s="228"/>
      <c r="M78" s="228"/>
      <c r="N78" s="228"/>
    </row>
    <row r="79" spans="1:14" ht="45" customHeight="1" x14ac:dyDescent="0.25">
      <c r="A79" s="152" t="s">
        <v>197</v>
      </c>
      <c r="B79" s="143" t="s">
        <v>198</v>
      </c>
      <c r="C79" s="228"/>
      <c r="D79" s="228"/>
      <c r="E79" s="228"/>
      <c r="F79" s="228"/>
      <c r="G79" s="228"/>
      <c r="H79" s="228"/>
      <c r="I79" s="228"/>
      <c r="J79" s="228"/>
      <c r="K79" s="228"/>
      <c r="L79" s="228"/>
      <c r="M79" s="228"/>
      <c r="N79" s="228"/>
    </row>
    <row r="80" spans="1:14" x14ac:dyDescent="0.25">
      <c r="A80" s="152" t="s">
        <v>199</v>
      </c>
      <c r="B80" s="143" t="s">
        <v>200</v>
      </c>
      <c r="C80" s="228"/>
      <c r="D80" s="228"/>
      <c r="E80" s="228"/>
      <c r="F80" s="228"/>
      <c r="G80" s="228"/>
      <c r="H80" s="228"/>
      <c r="I80" s="228"/>
      <c r="J80" s="228"/>
      <c r="K80" s="228"/>
      <c r="L80" s="228"/>
      <c r="M80" s="228"/>
      <c r="N80" s="228"/>
    </row>
    <row r="81" spans="1:14" x14ac:dyDescent="0.25">
      <c r="A81" s="152" t="s">
        <v>201</v>
      </c>
      <c r="B81" s="143" t="s">
        <v>202</v>
      </c>
      <c r="C81" s="228"/>
      <c r="D81" s="228"/>
      <c r="E81" s="228"/>
      <c r="F81" s="228"/>
      <c r="G81" s="228"/>
      <c r="H81" s="228"/>
      <c r="I81" s="228"/>
      <c r="J81" s="228"/>
      <c r="K81" s="228"/>
      <c r="L81" s="228"/>
      <c r="M81" s="228"/>
      <c r="N81" s="228"/>
    </row>
    <row r="82" spans="1:14" ht="45" customHeight="1" x14ac:dyDescent="0.25">
      <c r="A82" s="152" t="s">
        <v>203</v>
      </c>
      <c r="B82" s="143" t="s">
        <v>204</v>
      </c>
      <c r="C82" s="228"/>
      <c r="D82" s="228"/>
      <c r="E82" s="228"/>
      <c r="F82" s="228"/>
      <c r="G82" s="228"/>
      <c r="H82" s="228"/>
      <c r="I82" s="228"/>
      <c r="J82" s="228"/>
      <c r="K82" s="228"/>
      <c r="L82" s="228"/>
      <c r="M82" s="228"/>
      <c r="N82" s="228"/>
    </row>
    <row r="83" spans="1:14" ht="72" customHeight="1" x14ac:dyDescent="0.25">
      <c r="A83" s="147" t="s">
        <v>205</v>
      </c>
      <c r="B83" s="141" t="s">
        <v>206</v>
      </c>
      <c r="C83" s="228"/>
      <c r="D83" s="228"/>
      <c r="E83" s="228"/>
      <c r="F83" s="228"/>
      <c r="G83" s="228"/>
      <c r="H83" s="228"/>
      <c r="I83" s="228"/>
      <c r="J83" s="228"/>
      <c r="K83" s="228"/>
      <c r="L83" s="228"/>
      <c r="M83" s="228"/>
      <c r="N83" s="228"/>
    </row>
    <row r="84" spans="1:14" ht="57.75" customHeight="1" x14ac:dyDescent="0.25">
      <c r="A84" s="152" t="s">
        <v>207</v>
      </c>
      <c r="B84" s="153" t="s">
        <v>208</v>
      </c>
      <c r="C84" s="228"/>
      <c r="D84" s="228"/>
      <c r="E84" s="228"/>
      <c r="F84" s="228"/>
      <c r="G84" s="228"/>
      <c r="H84" s="228"/>
      <c r="I84" s="228"/>
      <c r="J84" s="228"/>
      <c r="K84" s="228"/>
      <c r="L84" s="228"/>
      <c r="M84" s="228"/>
      <c r="N84" s="228"/>
    </row>
    <row r="85" spans="1:14" ht="75" customHeight="1" x14ac:dyDescent="0.25">
      <c r="A85" s="152" t="s">
        <v>209</v>
      </c>
      <c r="B85" s="143" t="s">
        <v>210</v>
      </c>
      <c r="C85" s="228"/>
      <c r="D85" s="228"/>
      <c r="E85" s="228"/>
      <c r="F85" s="228"/>
      <c r="G85" s="228"/>
      <c r="H85" s="228"/>
      <c r="I85" s="228"/>
      <c r="J85" s="228"/>
      <c r="K85" s="228"/>
      <c r="L85" s="228"/>
      <c r="M85" s="228"/>
      <c r="N85" s="228"/>
    </row>
    <row r="86" spans="1:14" ht="60" customHeight="1" x14ac:dyDescent="0.25">
      <c r="A86" s="152" t="s">
        <v>211</v>
      </c>
      <c r="B86" s="143" t="s">
        <v>212</v>
      </c>
      <c r="C86" s="228"/>
      <c r="D86" s="228"/>
      <c r="E86" s="228"/>
      <c r="F86" s="228"/>
      <c r="G86" s="228"/>
      <c r="H86" s="228"/>
      <c r="I86" s="228"/>
      <c r="J86" s="228"/>
      <c r="K86" s="228"/>
      <c r="L86" s="228"/>
      <c r="M86" s="228"/>
      <c r="N86" s="228"/>
    </row>
    <row r="87" spans="1:14" ht="75" customHeight="1" x14ac:dyDescent="0.25">
      <c r="A87" s="152" t="s">
        <v>213</v>
      </c>
      <c r="B87" s="143" t="s">
        <v>214</v>
      </c>
      <c r="C87" s="228"/>
      <c r="D87" s="228"/>
      <c r="E87" s="228"/>
      <c r="F87" s="228"/>
      <c r="G87" s="228"/>
      <c r="H87" s="228"/>
      <c r="I87" s="228"/>
      <c r="J87" s="228"/>
      <c r="K87" s="228"/>
      <c r="L87" s="228"/>
      <c r="M87" s="228"/>
      <c r="N87" s="228"/>
    </row>
    <row r="88" spans="1:14" ht="86.25" customHeight="1" x14ac:dyDescent="0.25">
      <c r="A88" s="152" t="s">
        <v>215</v>
      </c>
      <c r="B88" s="153" t="s">
        <v>216</v>
      </c>
      <c r="C88" s="228"/>
      <c r="D88" s="228"/>
      <c r="E88" s="228"/>
      <c r="F88" s="228"/>
      <c r="G88" s="228"/>
      <c r="H88" s="228"/>
      <c r="I88" s="228"/>
      <c r="J88" s="228"/>
      <c r="K88" s="228"/>
      <c r="L88" s="228"/>
      <c r="M88" s="228"/>
      <c r="N88" s="228"/>
    </row>
    <row r="89" spans="1:14" ht="45" customHeight="1" x14ac:dyDescent="0.25">
      <c r="A89" s="152" t="s">
        <v>217</v>
      </c>
      <c r="B89" s="143" t="s">
        <v>218</v>
      </c>
      <c r="C89" s="228"/>
      <c r="D89" s="228"/>
      <c r="E89" s="228"/>
      <c r="F89" s="228"/>
      <c r="G89" s="228"/>
      <c r="H89" s="228"/>
      <c r="I89" s="228"/>
      <c r="J89" s="228"/>
      <c r="K89" s="228"/>
      <c r="L89" s="228"/>
      <c r="M89" s="228"/>
      <c r="N89" s="228"/>
    </row>
    <row r="90" spans="1:14" ht="30" customHeight="1" x14ac:dyDescent="0.25">
      <c r="A90" s="152" t="s">
        <v>219</v>
      </c>
      <c r="B90" s="143" t="s">
        <v>220</v>
      </c>
      <c r="C90" s="228"/>
      <c r="D90" s="228"/>
      <c r="E90" s="228"/>
      <c r="F90" s="228"/>
      <c r="G90" s="228"/>
      <c r="H90" s="228"/>
      <c r="I90" s="228"/>
      <c r="J90" s="228"/>
      <c r="K90" s="228"/>
      <c r="L90" s="228"/>
      <c r="M90" s="228"/>
      <c r="N90" s="228"/>
    </row>
    <row r="91" spans="1:14" x14ac:dyDescent="0.25">
      <c r="A91" s="152" t="s">
        <v>221</v>
      </c>
      <c r="B91" s="143" t="s">
        <v>111</v>
      </c>
      <c r="C91" s="228"/>
      <c r="D91" s="228"/>
      <c r="E91" s="228"/>
      <c r="F91" s="228"/>
      <c r="G91" s="228"/>
      <c r="H91" s="228"/>
      <c r="I91" s="228"/>
      <c r="J91" s="228"/>
      <c r="K91" s="228"/>
      <c r="L91" s="228"/>
      <c r="M91" s="228"/>
      <c r="N91" s="228"/>
    </row>
    <row r="92" spans="1:14" ht="57.75" customHeight="1" x14ac:dyDescent="0.25">
      <c r="A92" s="152" t="s">
        <v>222</v>
      </c>
      <c r="B92" s="153" t="s">
        <v>223</v>
      </c>
      <c r="C92" s="228"/>
      <c r="D92" s="228"/>
      <c r="E92" s="228"/>
      <c r="F92" s="228"/>
      <c r="G92" s="228"/>
      <c r="H92" s="228"/>
      <c r="I92" s="228"/>
      <c r="J92" s="228"/>
      <c r="K92" s="228"/>
      <c r="L92" s="228"/>
      <c r="M92" s="228"/>
      <c r="N92" s="228"/>
    </row>
    <row r="93" spans="1:14" ht="45" customHeight="1" x14ac:dyDescent="0.25">
      <c r="A93" s="152" t="s">
        <v>224</v>
      </c>
      <c r="B93" s="143" t="s">
        <v>225</v>
      </c>
      <c r="C93" s="228"/>
      <c r="D93" s="228"/>
      <c r="E93" s="228"/>
      <c r="F93" s="228"/>
      <c r="G93" s="228"/>
      <c r="H93" s="228"/>
      <c r="I93" s="228"/>
      <c r="J93" s="228"/>
      <c r="K93" s="228"/>
      <c r="L93" s="228"/>
      <c r="M93" s="228"/>
      <c r="N93" s="228"/>
    </row>
    <row r="94" spans="1:14" ht="90" customHeight="1" x14ac:dyDescent="0.25">
      <c r="A94" s="152" t="s">
        <v>226</v>
      </c>
      <c r="B94" s="143" t="s">
        <v>227</v>
      </c>
      <c r="C94" s="228"/>
      <c r="D94" s="228"/>
      <c r="E94" s="228"/>
      <c r="F94" s="228"/>
      <c r="G94" s="228"/>
      <c r="H94" s="228"/>
      <c r="I94" s="228"/>
      <c r="J94" s="228"/>
      <c r="K94" s="228"/>
      <c r="L94" s="228"/>
      <c r="M94" s="228"/>
      <c r="N94" s="228"/>
    </row>
    <row r="95" spans="1:14" x14ac:dyDescent="0.25">
      <c r="A95" s="152" t="s">
        <v>228</v>
      </c>
      <c r="B95" s="143" t="s">
        <v>111</v>
      </c>
      <c r="C95" s="228"/>
      <c r="D95" s="228"/>
      <c r="E95" s="228"/>
      <c r="F95" s="228"/>
      <c r="G95" s="228"/>
      <c r="H95" s="228"/>
      <c r="I95" s="228"/>
      <c r="J95" s="228"/>
      <c r="K95" s="228"/>
      <c r="L95" s="228"/>
      <c r="M95" s="228"/>
      <c r="N95" s="228"/>
    </row>
    <row r="96" spans="1:14" x14ac:dyDescent="0.25">
      <c r="A96" s="152" t="s">
        <v>229</v>
      </c>
      <c r="B96" s="143" t="s">
        <v>111</v>
      </c>
      <c r="C96" s="228"/>
      <c r="D96" s="228"/>
      <c r="E96" s="228"/>
      <c r="F96" s="228"/>
      <c r="G96" s="228"/>
      <c r="H96" s="228"/>
      <c r="I96" s="228"/>
      <c r="J96" s="228"/>
      <c r="K96" s="228"/>
      <c r="L96" s="228"/>
      <c r="M96" s="228"/>
      <c r="N96" s="228"/>
    </row>
    <row r="97" spans="1:14" x14ac:dyDescent="0.25">
      <c r="A97" s="147" t="s">
        <v>230</v>
      </c>
      <c r="B97" s="141" t="s">
        <v>111</v>
      </c>
      <c r="C97" s="228"/>
      <c r="D97" s="228"/>
      <c r="E97" s="228"/>
      <c r="F97" s="228"/>
      <c r="G97" s="228"/>
      <c r="H97" s="228"/>
      <c r="I97" s="228"/>
      <c r="J97" s="228"/>
      <c r="K97" s="228"/>
      <c r="L97" s="228"/>
      <c r="M97" s="228"/>
      <c r="N97" s="228"/>
    </row>
    <row r="98" spans="1:14" ht="45" customHeight="1" x14ac:dyDescent="0.25">
      <c r="A98" s="152" t="s">
        <v>231</v>
      </c>
      <c r="B98" s="143" t="s">
        <v>232</v>
      </c>
      <c r="C98" s="228"/>
      <c r="D98" s="228"/>
      <c r="E98" s="228"/>
      <c r="F98" s="228"/>
      <c r="G98" s="228"/>
      <c r="H98" s="228"/>
      <c r="I98" s="228"/>
      <c r="J98" s="228"/>
      <c r="K98" s="228"/>
      <c r="L98" s="228"/>
      <c r="M98" s="228"/>
      <c r="N98" s="228"/>
    </row>
    <row r="99" spans="1:14" ht="60" customHeight="1" x14ac:dyDescent="0.25">
      <c r="A99" s="152" t="s">
        <v>233</v>
      </c>
      <c r="B99" s="143" t="s">
        <v>234</v>
      </c>
      <c r="C99" s="228"/>
      <c r="D99" s="228"/>
      <c r="E99" s="228"/>
      <c r="F99" s="228"/>
      <c r="G99" s="228"/>
      <c r="H99" s="228"/>
      <c r="I99" s="228"/>
      <c r="J99" s="228"/>
      <c r="K99" s="228"/>
      <c r="L99" s="228"/>
      <c r="M99" s="228"/>
      <c r="N99" s="228"/>
    </row>
    <row r="100" spans="1:14" x14ac:dyDescent="0.25">
      <c r="A100" s="152" t="s">
        <v>235</v>
      </c>
      <c r="B100" s="143" t="s">
        <v>111</v>
      </c>
      <c r="C100" s="228"/>
      <c r="D100" s="228"/>
      <c r="E100" s="228"/>
      <c r="F100" s="228"/>
      <c r="G100" s="228"/>
      <c r="H100" s="228"/>
      <c r="I100" s="228"/>
      <c r="J100" s="228"/>
      <c r="K100" s="228"/>
      <c r="L100" s="228"/>
      <c r="M100" s="228"/>
      <c r="N100" s="228"/>
    </row>
  </sheetData>
  <mergeCells count="37">
    <mergeCell ref="A1:B1"/>
    <mergeCell ref="C9:N9"/>
    <mergeCell ref="C10:N22"/>
    <mergeCell ref="C23:N25"/>
    <mergeCell ref="C26:N26"/>
    <mergeCell ref="C2:N2"/>
    <mergeCell ref="C3:N3"/>
    <mergeCell ref="C4:N4"/>
    <mergeCell ref="C5:N7"/>
    <mergeCell ref="C8:N8"/>
    <mergeCell ref="C55:N55"/>
    <mergeCell ref="C59:N59"/>
    <mergeCell ref="N60:N61"/>
    <mergeCell ref="C58:D58"/>
    <mergeCell ref="E58:F58"/>
    <mergeCell ref="G58:H58"/>
    <mergeCell ref="I58:J58"/>
    <mergeCell ref="C60:D61"/>
    <mergeCell ref="E60:H61"/>
    <mergeCell ref="C56:N56"/>
    <mergeCell ref="C57:N57"/>
    <mergeCell ref="C68:N100"/>
    <mergeCell ref="C28:N35"/>
    <mergeCell ref="C36:N36"/>
    <mergeCell ref="C37:N37"/>
    <mergeCell ref="C38:N38"/>
    <mergeCell ref="C39:N50"/>
    <mergeCell ref="C51:N54"/>
    <mergeCell ref="I60:J61"/>
    <mergeCell ref="K60:K61"/>
    <mergeCell ref="C62:N62"/>
    <mergeCell ref="C63:N63"/>
    <mergeCell ref="C64:N65"/>
    <mergeCell ref="C66:N66"/>
    <mergeCell ref="C67:N67"/>
    <mergeCell ref="L60:L61"/>
    <mergeCell ref="M60:M61"/>
  </mergeCells>
  <hyperlinks>
    <hyperlink ref="E60" r:id="rId1" display="IBM Data 2007" xr:uid="{EB339301-D0C6-4C3A-9F1F-054A7CCAA4DE}"/>
    <hyperlink ref="J27" r:id="rId2" display="IBM Data (2012-13)" xr:uid="{0CA6A87D-36F2-4E3B-960B-D0ECA2E65B4B}"/>
    <hyperlink ref="H27" r:id="rId3" xr:uid="{3345DE22-3528-40DE-B843-F6FF99A2E933}"/>
    <hyperlink ref="E27" r:id="rId4" xr:uid="{8C946CB5-B8D4-4D65-A7BC-053A0047F58F}"/>
    <hyperlink ref="I60" r:id="rId5" display="IBM Data (2012-13)" xr:uid="{3D37BC9D-7AC3-407A-95B7-528C0754FB44}"/>
    <hyperlink ref="F27" r:id="rId6" xr:uid="{D71789EC-F49F-4802-8579-AE41EFEC79AD}"/>
    <hyperlink ref="G27" r:id="rId7" display="IBM Data 2010 " xr:uid="{945DD7CB-6258-4B17-9322-5A9ED01E353D}"/>
    <hyperlink ref="I27" r:id="rId8" display="IBM Data (2012-13)" xr:uid="{CC3394F7-70B5-4F17-8358-C4580646D895}"/>
    <hyperlink ref="G58" r:id="rId9" xr:uid="{FB7DE9B4-90A6-46FE-AB75-6F4B71AAD947}"/>
    <hyperlink ref="H58" r:id="rId10" display="http://ibm.nic.in/writereaddata/files/07092014130344IMYB-2012- Aluminium &amp; Alumina.pdf" xr:uid="{F2AA30D9-3D36-4654-8C69-5FE250295C24}"/>
    <hyperlink ref="I58" r:id="rId11" xr:uid="{D6B57555-356D-48BB-A13D-3EFF283107E9}"/>
    <hyperlink ref="J58" r:id="rId12" display="http://ibm.nic.in/writereaddata/files/05282015122910Aluminium &amp; Alumina_2013.pdf" xr:uid="{B01BF5DB-1CDA-4BB8-84E5-7D237083B7C9}"/>
    <hyperlink ref="E58" r:id="rId13" xr:uid="{45111A0E-0A86-41B7-8ADD-431FACD5EF46}"/>
    <hyperlink ref="F58" r:id="rId14" display="http://www.mcxindia.com/downloads/overview/PDF/2010/Non-Agricultural/Aluminium.pdf" xr:uid="{085314A3-3BDA-4D93-BC4C-299E8B298ADA}"/>
    <hyperlink ref="K27" r:id="rId15" display="IBM Data (2012-13)" xr:uid="{220418A8-97CB-4107-8785-CB4185A7573A}"/>
    <hyperlink ref="C8" r:id="rId16" display="CIL Data" xr:uid="{7D9F258B-9D19-4025-AB73-90D10FF63102}"/>
    <hyperlink ref="C27" r:id="rId17" xr:uid="{71FF5554-CBD9-4991-AB2D-7AE252E6F874}"/>
    <hyperlink ref="D27" r:id="rId18" xr:uid="{1AC2A49D-CEFE-411C-AEBF-62F287197381}"/>
    <hyperlink ref="C39" r:id="rId19" xr:uid="{D8A4AAA8-7D61-4A04-ACEB-10B65EF15F3A}"/>
    <hyperlink ref="K58" r:id="rId20" xr:uid="{FE366498-0A6B-46CC-8738-0E31B5586250}"/>
    <hyperlink ref="K60:K61" r:id="rId21" display="IBM mineral yearbook 2014" xr:uid="{0C1BE2B9-766C-4056-81D7-5165298AFC31}"/>
    <hyperlink ref="C58" r:id="rId22" xr:uid="{6016F091-D7D6-47E5-BC16-8089C7B77B42}"/>
    <hyperlink ref="C60:D61" r:id="rId23" display="IBM Data" xr:uid="{09B0B65A-BD08-4331-9469-52C4FF77C56F}"/>
    <hyperlink ref="M27" r:id="rId24" display="IBM" xr:uid="{4A415131-5AF0-404B-B4FC-C5319D429150}"/>
    <hyperlink ref="N27" r:id="rId25" display="IBM" xr:uid="{6568BF8A-EEAE-44FF-98C0-E16FE6209D61}"/>
    <hyperlink ref="M58" r:id="rId26" xr:uid="{22F131E5-4CFB-4FD0-9E27-C4803993DF7F}"/>
    <hyperlink ref="L27" r:id="rId27" xr:uid="{9C26B164-C400-4C03-870D-056D2CD3A287}"/>
    <hyperlink ref="N58" r:id="rId28" xr:uid="{75F6213B-23B1-4225-9100-8B29B2F7797B}"/>
    <hyperlink ref="L60:L61" r:id="rId29" display="IBM mineral yearbook 2015" xr:uid="{73AB3E15-5E2D-495D-9E35-DFFB6822E785}"/>
    <hyperlink ref="L58" r:id="rId30" xr:uid="{944917B4-1299-4404-AC13-E5CFCC75CDC3}"/>
    <hyperlink ref="M60:M61" r:id="rId31" display="IBM Mineral Yearbook 2016" xr:uid="{09AD8110-4AF9-4A03-823B-E39F9B7DFC1F}"/>
    <hyperlink ref="N60:N61" r:id="rId32" display="IBM Mineral Yearbook 2017" xr:uid="{1BA7199F-7BA6-48DE-AD70-43AEA1A3BAF1}"/>
    <hyperlink ref="C39:N50" r:id="rId33" display="Chemicals and Petrochemicals statistics (Ministry of chemicals and fertilizers)" xr:uid="{3770A23B-A2CA-4017-91AE-A6FD19471F68}"/>
    <hyperlink ref="C37:N37" r:id="rId34" display="Chemicals and Petrochemicals statistics (Ministry of chemicals and fertilizers)" xr:uid="{D714DE11-5C1E-4215-AEDC-C1359E690A8C}"/>
    <hyperlink ref="C67:N67" r:id="rId35" display="Central Coalfields Limited - Annual Reports" xr:uid="{3ACA936C-5AB1-4311-B51B-7CCBCA9618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63E8-6F10-4665-95B4-00C05AFDD335}">
  <dimension ref="A1:F11"/>
  <sheetViews>
    <sheetView workbookViewId="0">
      <selection activeCell="C15" sqref="C15"/>
    </sheetView>
  </sheetViews>
  <sheetFormatPr defaultColWidth="9.140625" defaultRowHeight="15" x14ac:dyDescent="0.25"/>
  <cols>
    <col min="1" max="1" width="9.140625" style="1"/>
    <col min="2" max="2" width="22.140625" style="1" customWidth="1"/>
    <col min="3" max="3" width="80.5703125" style="1" customWidth="1"/>
    <col min="4" max="16384" width="9.140625" style="1"/>
  </cols>
  <sheetData>
    <row r="1" spans="1:6" x14ac:dyDescent="0.25">
      <c r="A1" s="2"/>
      <c r="B1" s="2"/>
      <c r="C1" s="2"/>
      <c r="D1" s="2"/>
      <c r="E1" s="2"/>
      <c r="F1" s="2"/>
    </row>
    <row r="2" spans="1:6" x14ac:dyDescent="0.25">
      <c r="A2" s="2"/>
      <c r="B2" s="24" t="s">
        <v>18</v>
      </c>
      <c r="C2" s="24" t="s">
        <v>19</v>
      </c>
      <c r="D2" s="2"/>
      <c r="E2" s="2"/>
      <c r="F2" s="2"/>
    </row>
    <row r="3" spans="1:6" ht="28.5" customHeight="1" x14ac:dyDescent="0.25">
      <c r="A3" s="2"/>
      <c r="B3" s="25">
        <v>1</v>
      </c>
      <c r="C3" s="26" t="s">
        <v>20</v>
      </c>
      <c r="D3" s="2"/>
      <c r="E3" s="2"/>
      <c r="F3" s="2"/>
    </row>
    <row r="4" spans="1:6" ht="22.5" customHeight="1" x14ac:dyDescent="0.25">
      <c r="A4" s="2"/>
      <c r="B4" s="25">
        <v>2</v>
      </c>
      <c r="C4" s="26" t="s">
        <v>26</v>
      </c>
      <c r="D4" s="2"/>
      <c r="E4" s="2"/>
      <c r="F4" s="2"/>
    </row>
    <row r="5" spans="1:6" x14ac:dyDescent="0.25">
      <c r="A5" s="2"/>
      <c r="B5" s="25">
        <v>3</v>
      </c>
      <c r="C5" s="25" t="s">
        <v>27</v>
      </c>
      <c r="D5" s="2"/>
      <c r="E5" s="2"/>
      <c r="F5" s="2"/>
    </row>
    <row r="6" spans="1:6" x14ac:dyDescent="0.25">
      <c r="A6" s="2"/>
      <c r="B6" s="25">
        <v>4</v>
      </c>
      <c r="C6" s="27" t="s">
        <v>21</v>
      </c>
      <c r="D6" s="2"/>
      <c r="E6" s="2"/>
      <c r="F6" s="2"/>
    </row>
    <row r="7" spans="1:6" x14ac:dyDescent="0.25">
      <c r="A7" s="2"/>
      <c r="B7" s="25">
        <v>5</v>
      </c>
      <c r="C7" s="25" t="s">
        <v>22</v>
      </c>
      <c r="D7" s="2"/>
      <c r="E7" s="2"/>
      <c r="F7" s="2"/>
    </row>
    <row r="8" spans="1:6" x14ac:dyDescent="0.25">
      <c r="A8" s="2"/>
      <c r="B8" s="25">
        <v>6</v>
      </c>
      <c r="C8" s="25" t="s">
        <v>23</v>
      </c>
      <c r="D8" s="2"/>
      <c r="E8" s="2"/>
      <c r="F8" s="2"/>
    </row>
    <row r="9" spans="1:6" x14ac:dyDescent="0.25">
      <c r="A9" s="2"/>
      <c r="B9" s="25">
        <v>7</v>
      </c>
      <c r="C9" s="25" t="s">
        <v>24</v>
      </c>
      <c r="D9" s="2"/>
      <c r="E9" s="2"/>
      <c r="F9" s="2"/>
    </row>
    <row r="10" spans="1:6" x14ac:dyDescent="0.25">
      <c r="A10" s="2"/>
      <c r="B10" s="25">
        <v>8</v>
      </c>
      <c r="C10" s="25" t="s">
        <v>25</v>
      </c>
      <c r="D10" s="2"/>
      <c r="E10" s="2"/>
      <c r="F10" s="2"/>
    </row>
    <row r="11" spans="1:6" x14ac:dyDescent="0.25">
      <c r="A11" s="2"/>
      <c r="B11" s="2"/>
      <c r="C11" s="2"/>
      <c r="D11" s="2"/>
      <c r="E11" s="2"/>
      <c r="F11"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3A98-126D-4354-BFBF-B2D524E6E76C}">
  <dimension ref="A1:BG222"/>
  <sheetViews>
    <sheetView zoomScale="70" zoomScaleNormal="70" workbookViewId="0">
      <pane xSplit="3" ySplit="4" topLeftCell="D5" activePane="bottomRight" state="frozen"/>
      <selection pane="topRight" activeCell="D1" sqref="D1"/>
      <selection pane="bottomLeft" activeCell="A5" sqref="A5"/>
      <selection pane="bottomRight" activeCell="AA11" sqref="AA11:AM13"/>
    </sheetView>
  </sheetViews>
  <sheetFormatPr defaultColWidth="8.85546875" defaultRowHeight="15" x14ac:dyDescent="0.25"/>
  <cols>
    <col min="1" max="1" width="11.42578125" style="4" customWidth="1"/>
    <col min="2" max="2" width="19.140625" style="4" customWidth="1"/>
    <col min="3" max="3" width="48.140625" style="15" customWidth="1"/>
    <col min="4" max="5" width="14.5703125" style="15" customWidth="1"/>
    <col min="6" max="6" width="15.28515625" style="4" customWidth="1"/>
    <col min="7" max="7" width="16" style="4" customWidth="1"/>
    <col min="8" max="8" width="13.85546875" style="4" customWidth="1"/>
    <col min="9" max="9" width="14.85546875" style="4" customWidth="1"/>
    <col min="10" max="10" width="15" style="4" customWidth="1"/>
    <col min="11" max="11" width="15.85546875" style="4" customWidth="1"/>
    <col min="12" max="12" width="15.42578125" style="4" customWidth="1"/>
    <col min="13" max="15" width="16.85546875" style="4" customWidth="1"/>
    <col min="16" max="24" width="7.85546875" style="4" bestFit="1" customWidth="1"/>
    <col min="25" max="16384" width="8.85546875" style="4"/>
  </cols>
  <sheetData>
    <row r="1" spans="1:59" ht="15.75" x14ac:dyDescent="0.25">
      <c r="A1" s="67" t="s">
        <v>28</v>
      </c>
      <c r="B1" s="68"/>
      <c r="C1" s="69"/>
      <c r="D1" s="69"/>
      <c r="E1" s="28"/>
      <c r="F1" s="1"/>
      <c r="G1" s="1"/>
      <c r="H1" s="1"/>
      <c r="I1" s="1"/>
      <c r="J1" s="1"/>
      <c r="K1" s="1"/>
      <c r="L1" s="1"/>
      <c r="M1" s="1"/>
      <c r="N1" s="1"/>
      <c r="O1" s="1"/>
      <c r="P1" s="1"/>
      <c r="Q1" s="1"/>
      <c r="R1" s="1"/>
      <c r="S1" s="1"/>
      <c r="T1" s="1"/>
      <c r="U1" s="1"/>
      <c r="V1" s="1"/>
      <c r="W1" s="1"/>
      <c r="X1" s="1"/>
      <c r="Y1" s="1"/>
      <c r="Z1" s="1"/>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x14ac:dyDescent="0.25">
      <c r="A2" s="1"/>
      <c r="B2" s="29"/>
      <c r="C2" s="30"/>
      <c r="D2" s="196" t="s">
        <v>29</v>
      </c>
      <c r="E2" s="197"/>
      <c r="F2" s="197"/>
      <c r="G2" s="197"/>
      <c r="H2" s="197"/>
      <c r="I2" s="197"/>
      <c r="J2" s="197"/>
      <c r="K2" s="197"/>
      <c r="L2" s="197"/>
      <c r="M2" s="197"/>
      <c r="N2" s="197"/>
      <c r="O2" s="198"/>
      <c r="P2" s="194" t="s">
        <v>30</v>
      </c>
      <c r="Q2" s="195"/>
      <c r="R2" s="195"/>
      <c r="S2" s="195"/>
      <c r="T2" s="195"/>
      <c r="U2" s="195"/>
      <c r="V2" s="195"/>
      <c r="W2" s="195"/>
      <c r="X2" s="195"/>
      <c r="Y2" s="195"/>
      <c r="Z2" s="195"/>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59" s="5" customFormat="1" x14ac:dyDescent="0.25">
      <c r="A3" s="31"/>
      <c r="B3" s="32"/>
      <c r="C3" s="33"/>
      <c r="D3" s="34" t="s">
        <v>31</v>
      </c>
      <c r="E3" s="34" t="s">
        <v>32</v>
      </c>
      <c r="F3" s="34" t="s">
        <v>33</v>
      </c>
      <c r="G3" s="34" t="s">
        <v>34</v>
      </c>
      <c r="H3" s="34" t="s">
        <v>35</v>
      </c>
      <c r="I3" s="34" t="s">
        <v>36</v>
      </c>
      <c r="J3" s="34" t="s">
        <v>37</v>
      </c>
      <c r="K3" s="34" t="s">
        <v>38</v>
      </c>
      <c r="L3" s="34" t="s">
        <v>39</v>
      </c>
      <c r="M3" s="34" t="s">
        <v>40</v>
      </c>
      <c r="N3" s="34" t="s">
        <v>241</v>
      </c>
      <c r="O3" s="34" t="s">
        <v>242</v>
      </c>
      <c r="P3" s="35">
        <v>2005</v>
      </c>
      <c r="Q3" s="35">
        <v>2006</v>
      </c>
      <c r="R3" s="35">
        <v>2007</v>
      </c>
      <c r="S3" s="35">
        <v>2008</v>
      </c>
      <c r="T3" s="35">
        <v>2009</v>
      </c>
      <c r="U3" s="35">
        <v>2010</v>
      </c>
      <c r="V3" s="35">
        <v>2011</v>
      </c>
      <c r="W3" s="35">
        <v>2012</v>
      </c>
      <c r="X3" s="35">
        <v>2013</v>
      </c>
      <c r="Y3" s="35">
        <v>2014</v>
      </c>
      <c r="Z3" s="35">
        <v>2015</v>
      </c>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row>
    <row r="4" spans="1:59" x14ac:dyDescent="0.25">
      <c r="A4" s="36"/>
      <c r="B4" s="37" t="s">
        <v>41</v>
      </c>
      <c r="C4" s="38" t="s">
        <v>42</v>
      </c>
      <c r="D4" s="191" t="s">
        <v>43</v>
      </c>
      <c r="E4" s="192"/>
      <c r="F4" s="192"/>
      <c r="G4" s="192"/>
      <c r="H4" s="192"/>
      <c r="I4" s="192"/>
      <c r="J4" s="192"/>
      <c r="K4" s="192"/>
      <c r="L4" s="192"/>
      <c r="M4" s="192"/>
      <c r="N4" s="192"/>
      <c r="O4" s="193"/>
      <c r="P4" s="199" t="s">
        <v>44</v>
      </c>
      <c r="Q4" s="199"/>
      <c r="R4" s="199"/>
      <c r="S4" s="199"/>
      <c r="T4" s="199"/>
      <c r="U4" s="199"/>
      <c r="V4" s="199"/>
      <c r="W4" s="199"/>
      <c r="X4" s="199"/>
      <c r="Y4" s="199"/>
      <c r="Z4" s="199"/>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row>
    <row r="5" spans="1:59" ht="15" customHeight="1" x14ac:dyDescent="0.25">
      <c r="A5" s="205" t="s">
        <v>45</v>
      </c>
      <c r="B5" s="39" t="s">
        <v>46</v>
      </c>
      <c r="C5" s="40" t="s">
        <v>47</v>
      </c>
      <c r="D5" s="41">
        <f t="shared" ref="D5:E5" si="0">SUM(D6:D10)</f>
        <v>26416.674951287092</v>
      </c>
      <c r="E5" s="41">
        <f t="shared" si="0"/>
        <v>31589.725291565333</v>
      </c>
      <c r="F5" s="41">
        <f>SUM(F6:F10)</f>
        <v>34794.648289780751</v>
      </c>
      <c r="G5" s="41">
        <f>SUM(G6:G10)</f>
        <v>36766.105578659139</v>
      </c>
      <c r="H5" s="41">
        <f>SUM(H6:H10)</f>
        <v>41312.570914038472</v>
      </c>
      <c r="I5" s="41">
        <f t="shared" ref="I5:O5" si="1">SUM(I6:I10)</f>
        <v>47721.169007881894</v>
      </c>
      <c r="J5" s="41">
        <f t="shared" si="1"/>
        <v>49263.1788548162</v>
      </c>
      <c r="K5" s="41">
        <f t="shared" si="1"/>
        <v>51991.657930769448</v>
      </c>
      <c r="L5" s="41">
        <f t="shared" si="1"/>
        <v>51534.700565250139</v>
      </c>
      <c r="M5" s="41">
        <f t="shared" si="1"/>
        <v>52341.427772948497</v>
      </c>
      <c r="N5" s="41">
        <f t="shared" si="1"/>
        <v>58094.378616866205</v>
      </c>
      <c r="O5" s="41">
        <f t="shared" si="1"/>
        <v>62213.661594232399</v>
      </c>
      <c r="P5" s="42">
        <f>SUM(P6:P10)</f>
        <v>30.296462706495774</v>
      </c>
      <c r="Q5" s="42">
        <f t="shared" ref="Q5:Z5" si="2">SUM(Q6:Q10)</f>
        <v>33.993417540226901</v>
      </c>
      <c r="R5" s="42">
        <f t="shared" si="2"/>
        <v>36.27324125643954</v>
      </c>
      <c r="S5" s="42">
        <f t="shared" si="2"/>
        <v>40.17595458019364</v>
      </c>
      <c r="T5" s="42">
        <f t="shared" si="2"/>
        <v>46.119019484421038</v>
      </c>
      <c r="U5" s="42">
        <f t="shared" si="2"/>
        <v>48.877676393082623</v>
      </c>
      <c r="V5" s="42">
        <f t="shared" si="2"/>
        <v>51.309538161781134</v>
      </c>
      <c r="W5" s="42">
        <f t="shared" si="2"/>
        <v>51.64893990662997</v>
      </c>
      <c r="X5" s="42">
        <f t="shared" si="2"/>
        <v>52.139745971023913</v>
      </c>
      <c r="Y5" s="42">
        <f t="shared" si="2"/>
        <v>56.656140905886787</v>
      </c>
      <c r="Z5" s="42">
        <f t="shared" si="2"/>
        <v>61.183840849890856</v>
      </c>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row>
    <row r="6" spans="1:59" ht="15" customHeight="1" x14ac:dyDescent="0.25">
      <c r="A6" s="205"/>
      <c r="B6" s="43" t="s">
        <v>48</v>
      </c>
      <c r="C6" s="44" t="s">
        <v>49</v>
      </c>
      <c r="D6" s="200" t="s">
        <v>50</v>
      </c>
      <c r="E6" s="200"/>
      <c r="F6" s="200"/>
      <c r="G6" s="200"/>
      <c r="H6" s="200"/>
      <c r="I6" s="200"/>
      <c r="J6" s="200"/>
      <c r="K6" s="200"/>
      <c r="L6" s="200"/>
      <c r="M6" s="200"/>
      <c r="N6" s="200"/>
      <c r="O6" s="200"/>
      <c r="P6" s="200"/>
      <c r="Q6" s="200"/>
      <c r="R6" s="200"/>
      <c r="S6" s="200"/>
      <c r="T6" s="200"/>
      <c r="U6" s="200"/>
      <c r="V6" s="200"/>
      <c r="W6" s="200"/>
      <c r="X6" s="200"/>
      <c r="Y6" s="200"/>
      <c r="Z6" s="20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row>
    <row r="7" spans="1:59" x14ac:dyDescent="0.25">
      <c r="A7" s="205"/>
      <c r="B7" s="43" t="s">
        <v>51</v>
      </c>
      <c r="C7" s="44" t="s">
        <v>52</v>
      </c>
      <c r="D7" s="45">
        <f>IFERROR((VLOOKUP($B7,'6'!$A$4:$M$19,2,FALSE)/1000),"")</f>
        <v>22667.358487139696</v>
      </c>
      <c r="E7" s="45">
        <f>IFERROR((VLOOKUP($B7,'6'!$A$4:$M$19,3,FALSE)/1000),"")</f>
        <v>26836.457145538636</v>
      </c>
      <c r="F7" s="45">
        <f>IFERROR((VLOOKUP($B7,'6'!$A$4:$M$19,4,FALSE)/1000),"")</f>
        <v>30961.194145477559</v>
      </c>
      <c r="G7" s="45">
        <f>IFERROR((VLOOKUP($B7,'6'!$A$4:$M$19,5,FALSE)/1000),"")</f>
        <v>32079.027496746472</v>
      </c>
      <c r="H7" s="45">
        <f>IFERROR((VLOOKUP($B7,'6'!$A$4:$M$19,6,FALSE)/1000),"")</f>
        <v>36645.060641171018</v>
      </c>
      <c r="I7" s="45">
        <f>IFERROR((VLOOKUP($B7,'6'!$A$4:$M$19,7,FALSE)/1000),"")</f>
        <v>42265.9844568599</v>
      </c>
      <c r="J7" s="45">
        <f>IFERROR((VLOOKUP($B7,'6'!$A$4:$M$19,8,FALSE)/1000),"")</f>
        <v>43892.776979035923</v>
      </c>
      <c r="K7" s="45">
        <f>IFERROR((VLOOKUP($B7,'6'!$A$4:$M$19,9,FALSE)/1000),"")</f>
        <v>46120.786294259917</v>
      </c>
      <c r="L7" s="45">
        <f>IFERROR((VLOOKUP($B7,'6'!$A$4:$M$19,10,FALSE)/1000),"")</f>
        <v>44569.608378416873</v>
      </c>
      <c r="M7" s="45">
        <f>IFERROR((VLOOKUP($B7,'6'!$A$4:$M$19,11,FALSE)/1000),"")</f>
        <v>44854.285472359399</v>
      </c>
      <c r="N7" s="45">
        <f>IFERROR((VLOOKUP($B7,'6'!$A$4:$M$19,12,FALSE)/1000),"")</f>
        <v>51172.88985599998</v>
      </c>
      <c r="O7" s="45">
        <f>IFERROR((VLOOKUP($B7,'6'!$A$4:$M$19,13,FALSE)/1000),"")</f>
        <v>54094.590720000007</v>
      </c>
      <c r="P7" s="46">
        <f>IFERROR(((1/4)*D7+(3/4)*E7)/1000,"")</f>
        <v>25.7941824809389</v>
      </c>
      <c r="Q7" s="46">
        <f t="shared" ref="Q7:Z7" si="3">IFERROR(((1/4)*E7+(3/4)*F7)/1000,"")</f>
        <v>29.93000989549283</v>
      </c>
      <c r="R7" s="46">
        <f t="shared" si="3"/>
        <v>31.799569158929241</v>
      </c>
      <c r="S7" s="46">
        <f t="shared" si="3"/>
        <v>35.503552355064876</v>
      </c>
      <c r="T7" s="46">
        <f t="shared" si="3"/>
        <v>40.860753502937676</v>
      </c>
      <c r="U7" s="46">
        <f t="shared" si="3"/>
        <v>43.486078848491914</v>
      </c>
      <c r="V7" s="46">
        <f t="shared" si="3"/>
        <v>45.563783965453922</v>
      </c>
      <c r="W7" s="46">
        <f t="shared" si="3"/>
        <v>44.957402857377637</v>
      </c>
      <c r="X7" s="46">
        <f t="shared" si="3"/>
        <v>44.78311619887377</v>
      </c>
      <c r="Y7" s="46">
        <f t="shared" si="3"/>
        <v>49.593238760089839</v>
      </c>
      <c r="Z7" s="46">
        <f t="shared" si="3"/>
        <v>53.364165504000006</v>
      </c>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row>
    <row r="8" spans="1:59" ht="30" x14ac:dyDescent="0.25">
      <c r="A8" s="205"/>
      <c r="B8" s="43" t="s">
        <v>53</v>
      </c>
      <c r="C8" s="44" t="s">
        <v>54</v>
      </c>
      <c r="D8" s="45" t="str">
        <f>IFERROR((VLOOKUP($B8,'6'!$A$4:$M$19,2,FALSE)/1000),"")</f>
        <v/>
      </c>
      <c r="E8" s="45" t="str">
        <f>IFERROR((VLOOKUP($B8,'6'!$A$4:$M$19,3,FALSE)/1000),"")</f>
        <v/>
      </c>
      <c r="F8" s="45" t="str">
        <f>IFERROR((VLOOKUP($B8,'6'!$A$4:$M$19,4,FALSE)/1000),"")</f>
        <v/>
      </c>
      <c r="G8" s="45" t="str">
        <f>IFERROR((VLOOKUP($B8,'6'!$A$4:$M$19,5,FALSE)/1000),"")</f>
        <v/>
      </c>
      <c r="H8" s="45" t="str">
        <f>IFERROR((VLOOKUP($B8,'6'!$A$4:$M$19,6,FALSE)/1000),"")</f>
        <v/>
      </c>
      <c r="I8" s="45" t="str">
        <f>IFERROR((VLOOKUP($B8,'6'!$A$4:$M$19,7,FALSE)/1000),"")</f>
        <v/>
      </c>
      <c r="J8" s="45" t="str">
        <f>IFERROR((VLOOKUP($B8,'6'!$A$4:$M$19,8,FALSE)/1000),"")</f>
        <v/>
      </c>
      <c r="K8" s="45" t="str">
        <f>IFERROR((VLOOKUP($B8,'6'!$A$4:$M$19,9,FALSE)/1000),"")</f>
        <v/>
      </c>
      <c r="L8" s="45" t="str">
        <f>IFERROR((VLOOKUP($B8,'6'!$A$4:$M$19,10,FALSE)/1000),"")</f>
        <v/>
      </c>
      <c r="M8" s="45" t="str">
        <f>IFERROR((VLOOKUP($B8,'6'!$A$4:$M$19,11,FALSE)/1000),"")</f>
        <v/>
      </c>
      <c r="N8" s="45" t="str">
        <f>IFERROR((VLOOKUP($B8,'6'!$A$4:$M$19,12,FALSE)/1000),"")</f>
        <v/>
      </c>
      <c r="O8" s="45" t="str">
        <f>IFERROR((VLOOKUP($B8,'6'!$A$4:$M$19,13,FALSE)/1000),"")</f>
        <v/>
      </c>
      <c r="P8" s="46" t="str">
        <f t="shared" ref="P8:P10" si="4">IFERROR(((1/4)*D8+(3/4)*E8)/1000,"")</f>
        <v/>
      </c>
      <c r="Q8" s="46" t="str">
        <f t="shared" ref="Q8:Q10" si="5">IFERROR(((1/4)*E8+(3/4)*F8)/1000,"")</f>
        <v/>
      </c>
      <c r="R8" s="46" t="str">
        <f t="shared" ref="R8:R10" si="6">IFERROR(((1/4)*F8+(3/4)*G8)/1000,"")</f>
        <v/>
      </c>
      <c r="S8" s="46" t="str">
        <f t="shared" ref="S8:S10" si="7">IFERROR(((1/4)*G8+(3/4)*H8)/1000,"")</f>
        <v/>
      </c>
      <c r="T8" s="46" t="str">
        <f t="shared" ref="T8:T10" si="8">IFERROR(((1/4)*H8+(3/4)*I8)/1000,"")</f>
        <v/>
      </c>
      <c r="U8" s="46" t="str">
        <f t="shared" ref="U8:U10" si="9">IFERROR(((1/4)*I8+(3/4)*J8)/1000,"")</f>
        <v/>
      </c>
      <c r="V8" s="46" t="str">
        <f t="shared" ref="V8:V10" si="10">IFERROR(((1/4)*J8+(3/4)*K8)/1000,"")</f>
        <v/>
      </c>
      <c r="W8" s="46" t="str">
        <f t="shared" ref="W8:W10" si="11">IFERROR(((1/4)*K8+(3/4)*L8)/1000,"")</f>
        <v/>
      </c>
      <c r="X8" s="46" t="str">
        <f t="shared" ref="X8:X10" si="12">IFERROR(((1/4)*L8+(3/4)*M8)/1000,"")</f>
        <v/>
      </c>
      <c r="Y8" s="46" t="str">
        <f t="shared" ref="Y8:Y10" si="13">IFERROR(((1/4)*M8+(3/4)*N8)/1000,"")</f>
        <v/>
      </c>
      <c r="Z8" s="46" t="str">
        <f t="shared" ref="Z8:Z10" si="14">IFERROR(((1/4)*N8+(3/4)*O8)/1000,"")</f>
        <v/>
      </c>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row>
    <row r="9" spans="1:59" x14ac:dyDescent="0.25">
      <c r="A9" s="205"/>
      <c r="B9" s="47" t="s">
        <v>55</v>
      </c>
      <c r="C9" s="44" t="s">
        <v>56</v>
      </c>
      <c r="D9" s="45">
        <f>IFERROR((VLOOKUP($B9,'6'!$A$4:$M$19,2,FALSE)/1000),"")</f>
        <v>146.64635393868349</v>
      </c>
      <c r="E9" s="45">
        <f>IFERROR((VLOOKUP($B9,'6'!$A$4:$M$19,3,FALSE)/1000),"")</f>
        <v>760.63379010158121</v>
      </c>
      <c r="F9" s="45">
        <f>IFERROR((VLOOKUP($B9,'6'!$A$4:$M$19,4,FALSE)/1000),"")</f>
        <v>146.57190669766786</v>
      </c>
      <c r="G9" s="45">
        <f>IFERROR((VLOOKUP($B9,'6'!$A$4:$M$19,5,FALSE)/1000),"")</f>
        <v>880.37826447516409</v>
      </c>
      <c r="H9" s="45">
        <f>IFERROR((VLOOKUP($B9,'6'!$A$4:$M$19,6,FALSE)/1000),"")</f>
        <v>667.76182304974952</v>
      </c>
      <c r="I9" s="45">
        <f>IFERROR((VLOOKUP($B9,'6'!$A$4:$M$19,7,FALSE)/1000),"")</f>
        <v>1210.3730898795152</v>
      </c>
      <c r="J9" s="45">
        <f>IFERROR((VLOOKUP($B9,'6'!$A$4:$M$19,8,FALSE)/1000),"")</f>
        <v>738.97807143802299</v>
      </c>
      <c r="K9" s="45">
        <f>IFERROR((VLOOKUP($B9,'6'!$A$4:$M$19,9,FALSE)/1000),"")</f>
        <v>1013.7713332644403</v>
      </c>
      <c r="L9" s="45">
        <f>IFERROR((VLOOKUP($B9,'6'!$A$4:$M$19,10,FALSE)/1000),"")</f>
        <v>1489.5756726010541</v>
      </c>
      <c r="M9" s="45">
        <f>IFERROR((VLOOKUP($B9,'6'!$A$4:$M$19,11,FALSE)/1000),"")</f>
        <v>2345.2059669546866</v>
      </c>
      <c r="N9" s="45">
        <f>IFERROR((VLOOKUP($B9,'6'!$A$4:$M$19,12,FALSE)/1000),"")</f>
        <v>1691.1425705868448</v>
      </c>
      <c r="O9" s="45">
        <f>IFERROR((VLOOKUP($B9,'6'!$A$4:$M$19,13,FALSE)/1000),"")</f>
        <v>2459.3070454793792</v>
      </c>
      <c r="P9" s="46">
        <f t="shared" si="4"/>
        <v>0.60713693106085675</v>
      </c>
      <c r="Q9" s="46">
        <f t="shared" si="5"/>
        <v>0.30008737754864623</v>
      </c>
      <c r="R9" s="46">
        <f t="shared" si="6"/>
        <v>0.69692667503079009</v>
      </c>
      <c r="S9" s="46">
        <f t="shared" si="7"/>
        <v>0.72091593340610316</v>
      </c>
      <c r="T9" s="46">
        <f t="shared" si="8"/>
        <v>1.0747202731720737</v>
      </c>
      <c r="U9" s="46">
        <f t="shared" si="9"/>
        <v>0.856826826048396</v>
      </c>
      <c r="V9" s="46">
        <f t="shared" si="10"/>
        <v>0.94507301780783604</v>
      </c>
      <c r="W9" s="46">
        <f t="shared" si="11"/>
        <v>1.3706245877669008</v>
      </c>
      <c r="X9" s="46">
        <f t="shared" si="12"/>
        <v>2.1312983933662779</v>
      </c>
      <c r="Y9" s="46">
        <f t="shared" si="13"/>
        <v>1.8546584196788054</v>
      </c>
      <c r="Z9" s="46">
        <f t="shared" si="14"/>
        <v>2.2672659267562452</v>
      </c>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59" x14ac:dyDescent="0.25">
      <c r="A10" s="205"/>
      <c r="B10" s="47" t="s">
        <v>57</v>
      </c>
      <c r="C10" s="44" t="s">
        <v>58</v>
      </c>
      <c r="D10" s="45">
        <f>IFERROR((VLOOKUP($B10,'6'!$A$4:$M$19,2,FALSE)/1000),"")</f>
        <v>3602.670110208715</v>
      </c>
      <c r="E10" s="45">
        <f>IFERROR((VLOOKUP($B10,'6'!$A$4:$M$19,3,FALSE)/1000),"")</f>
        <v>3992.6343559251177</v>
      </c>
      <c r="F10" s="45">
        <f>IFERROR((VLOOKUP($B10,'6'!$A$4:$M$19,4,FALSE)/1000),"")</f>
        <v>3686.8822376055223</v>
      </c>
      <c r="G10" s="45">
        <f>IFERROR((VLOOKUP($B10,'6'!$A$4:$M$19,5,FALSE)/1000),"")</f>
        <v>3806.699817437504</v>
      </c>
      <c r="H10" s="45">
        <f>IFERROR((VLOOKUP($B10,'6'!$A$4:$M$19,6,FALSE)/1000),"")</f>
        <v>3999.7484498177073</v>
      </c>
      <c r="I10" s="45">
        <f>IFERROR((VLOOKUP($B10,'6'!$A$4:$M$19,7,FALSE)/1000),"")</f>
        <v>4244.8114611424789</v>
      </c>
      <c r="J10" s="45">
        <f>IFERROR((VLOOKUP($B10,'6'!$A$4:$M$19,8,FALSE)/1000),"")</f>
        <v>4631.4238043422547</v>
      </c>
      <c r="K10" s="45">
        <f>IFERROR((VLOOKUP($B10,'6'!$A$4:$M$19,9,FALSE)/1000),"")</f>
        <v>4857.1003032450872</v>
      </c>
      <c r="L10" s="45">
        <f>IFERROR((VLOOKUP($B10,'6'!$A$4:$M$19,10,FALSE)/1000),"")</f>
        <v>5475.5165142322185</v>
      </c>
      <c r="M10" s="45">
        <f>IFERROR((VLOOKUP($B10,'6'!$A$4:$M$19,11,FALSE)/1000),"")</f>
        <v>5141.9363336344122</v>
      </c>
      <c r="N10" s="45">
        <f>IFERROR((VLOOKUP($B10,'6'!$A$4:$M$19,12,FALSE)/1000),"")</f>
        <v>5230.3461902793824</v>
      </c>
      <c r="O10" s="45">
        <f>IFERROR((VLOOKUP($B10,'6'!$A$4:$M$19,13,FALSE)/1000),"")</f>
        <v>5659.7638287530099</v>
      </c>
      <c r="P10" s="46">
        <f t="shared" si="4"/>
        <v>3.8951432944960169</v>
      </c>
      <c r="Q10" s="46">
        <f t="shared" si="5"/>
        <v>3.7633202671854216</v>
      </c>
      <c r="R10" s="46">
        <f t="shared" si="6"/>
        <v>3.7767454224795083</v>
      </c>
      <c r="S10" s="46">
        <f t="shared" si="7"/>
        <v>3.9514862917226563</v>
      </c>
      <c r="T10" s="46">
        <f t="shared" si="8"/>
        <v>4.1835457083112857</v>
      </c>
      <c r="U10" s="46">
        <f t="shared" si="9"/>
        <v>4.534770718542311</v>
      </c>
      <c r="V10" s="46">
        <f t="shared" si="10"/>
        <v>4.8006811785193797</v>
      </c>
      <c r="W10" s="46">
        <f t="shared" si="11"/>
        <v>5.3209124614854355</v>
      </c>
      <c r="X10" s="46">
        <f t="shared" si="12"/>
        <v>5.2253313787838636</v>
      </c>
      <c r="Y10" s="46">
        <f t="shared" si="13"/>
        <v>5.2082437261181402</v>
      </c>
      <c r="Z10" s="46">
        <f t="shared" si="14"/>
        <v>5.5524094191346034</v>
      </c>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row>
    <row r="11" spans="1:59" x14ac:dyDescent="0.25">
      <c r="A11" s="205"/>
      <c r="B11" s="39" t="s">
        <v>59</v>
      </c>
      <c r="C11" s="48" t="s">
        <v>60</v>
      </c>
      <c r="D11" s="41">
        <f t="shared" ref="D11:O11" si="15">SUM(D12:D27)</f>
        <v>210841.83668209118</v>
      </c>
      <c r="E11" s="41">
        <f t="shared" si="15"/>
        <v>207998.63780786682</v>
      </c>
      <c r="F11" s="41">
        <f t="shared" si="15"/>
        <v>246177.0211271978</v>
      </c>
      <c r="G11" s="41">
        <f t="shared" si="15"/>
        <v>288799.45760413149</v>
      </c>
      <c r="H11" s="41">
        <f t="shared" si="15"/>
        <v>302942.10661721014</v>
      </c>
      <c r="I11" s="41">
        <f t="shared" si="15"/>
        <v>347846.22969159001</v>
      </c>
      <c r="J11" s="41">
        <f t="shared" si="15"/>
        <v>357210.37656998174</v>
      </c>
      <c r="K11" s="41">
        <f t="shared" si="15"/>
        <v>368894.41385091818</v>
      </c>
      <c r="L11" s="41">
        <f t="shared" si="15"/>
        <v>425729.60245596641</v>
      </c>
      <c r="M11" s="41">
        <f t="shared" si="15"/>
        <v>413620.27699946618</v>
      </c>
      <c r="N11" s="41">
        <f t="shared" si="15"/>
        <v>445214.08100909763</v>
      </c>
      <c r="O11" s="41">
        <f t="shared" si="15"/>
        <v>383212.12980371987</v>
      </c>
      <c r="P11" s="41">
        <f>SUM(P12:P27)</f>
        <v>208.70943752642287</v>
      </c>
      <c r="Q11" s="41">
        <f t="shared" ref="Q11:Z11" si="16">SUM(Q12:Q27)</f>
        <v>236.6324252973651</v>
      </c>
      <c r="R11" s="41">
        <f t="shared" si="16"/>
        <v>278.14384848489806</v>
      </c>
      <c r="S11" s="41">
        <f t="shared" si="16"/>
        <v>299.40644436394041</v>
      </c>
      <c r="T11" s="41">
        <f t="shared" si="16"/>
        <v>336.62019892299509</v>
      </c>
      <c r="U11" s="41">
        <f t="shared" si="16"/>
        <v>354.86933985038377</v>
      </c>
      <c r="V11" s="41">
        <f t="shared" si="16"/>
        <v>365.97340453068409</v>
      </c>
      <c r="W11" s="41">
        <f t="shared" si="16"/>
        <v>411.52080530470437</v>
      </c>
      <c r="X11" s="41">
        <f t="shared" si="16"/>
        <v>416.6476083635913</v>
      </c>
      <c r="Y11" s="41">
        <f t="shared" si="16"/>
        <v>437.31563000668979</v>
      </c>
      <c r="Z11" s="41">
        <f t="shared" si="16"/>
        <v>398.71261760506428</v>
      </c>
      <c r="AA11" s="189"/>
      <c r="AB11" s="189"/>
      <c r="AC11" s="189"/>
      <c r="AD11" s="189"/>
      <c r="AE11" s="189"/>
      <c r="AF11" s="189"/>
      <c r="AG11" s="189"/>
      <c r="AH11" s="189"/>
      <c r="AI11" s="189"/>
      <c r="AJ11" s="189"/>
      <c r="AK11" s="189"/>
      <c r="AL11" s="189"/>
      <c r="AM11" s="2"/>
      <c r="AN11" s="2"/>
      <c r="AO11" s="2"/>
      <c r="AP11" s="2"/>
      <c r="AQ11" s="2"/>
      <c r="AR11" s="2"/>
      <c r="AS11" s="2"/>
      <c r="AT11" s="2"/>
      <c r="AU11" s="2"/>
      <c r="AV11" s="2"/>
      <c r="AW11" s="2"/>
      <c r="AX11" s="2"/>
      <c r="AY11" s="2"/>
      <c r="AZ11" s="2"/>
      <c r="BA11" s="2"/>
      <c r="BB11" s="2"/>
      <c r="BC11" s="2"/>
      <c r="BD11" s="2"/>
      <c r="BE11" s="2"/>
      <c r="BF11" s="2"/>
      <c r="BG11" s="2"/>
    </row>
    <row r="12" spans="1:59" x14ac:dyDescent="0.25">
      <c r="A12" s="205"/>
      <c r="B12" s="43" t="s">
        <v>61</v>
      </c>
      <c r="C12" s="44" t="s">
        <v>62</v>
      </c>
      <c r="D12" s="45">
        <f>IFERROR((VLOOKUP($B12,'6'!$A$4:$M$19,2,FALSE)/1000),"")</f>
        <v>96138.17911683298</v>
      </c>
      <c r="E12" s="45">
        <f>IFERROR((VLOOKUP($B12,'6'!$A$4:$M$19,3,FALSE)/1000),"")</f>
        <v>95216.905210400204</v>
      </c>
      <c r="F12" s="45">
        <f>IFERROR((VLOOKUP($B12,'6'!$A$4:$M$19,4,FALSE)/1000),"")</f>
        <v>113368.8109435192</v>
      </c>
      <c r="G12" s="45">
        <f>IFERROR((VLOOKUP($B12,'6'!$A$4:$M$19,5,FALSE)/1000),"")</f>
        <v>148936.12702152054</v>
      </c>
      <c r="H12" s="45">
        <f>IFERROR((VLOOKUP($B12,'6'!$A$4:$M$19,6,FALSE)/1000),"")</f>
        <v>146251.13759140307</v>
      </c>
      <c r="I12" s="45">
        <f>IFERROR((VLOOKUP($B12,'6'!$A$4:$M$19,7,FALSE)/1000),"")</f>
        <v>178043.58144673347</v>
      </c>
      <c r="J12" s="45">
        <f>IFERROR((VLOOKUP($B12,'6'!$A$4:$M$19,8,FALSE)/1000),"")</f>
        <v>190605.71594745456</v>
      </c>
      <c r="K12" s="45">
        <f>IFERROR((VLOOKUP($B12,'6'!$A$4:$M$19,9,FALSE)/1000),"")</f>
        <v>185006.24237169675</v>
      </c>
      <c r="L12" s="45">
        <f>IFERROR((VLOOKUP($B12,'6'!$A$4:$M$19,10,FALSE)/1000),"")</f>
        <v>205670.52782515355</v>
      </c>
      <c r="M12" s="45">
        <f>IFERROR((VLOOKUP($B12,'6'!$A$4:$M$19,11,FALSE)/1000),"")</f>
        <v>207979.59063425983</v>
      </c>
      <c r="N12" s="45">
        <f>IFERROR((VLOOKUP($B12,'6'!$A$4:$M$19,12,FALSE)/1000),"")</f>
        <v>218898.14925356733</v>
      </c>
      <c r="O12" s="45">
        <f>IFERROR((VLOOKUP($B12,'6'!$A$4:$M$19,13,FALSE)/1000),"")</f>
        <v>185972.00680152365</v>
      </c>
      <c r="P12" s="46">
        <f>IFERROR(((1/4)*D12+(3/4)*E12)/1000,"")</f>
        <v>95.447223687008389</v>
      </c>
      <c r="Q12" s="46">
        <f t="shared" ref="Q12" si="17">IFERROR(((1/4)*E12+(3/4)*F12)/1000,"")</f>
        <v>108.83083451023946</v>
      </c>
      <c r="R12" s="46">
        <f t="shared" ref="R12" si="18">IFERROR(((1/4)*F12+(3/4)*G12)/1000,"")</f>
        <v>140.04429800202021</v>
      </c>
      <c r="S12" s="46">
        <f t="shared" ref="S12" si="19">IFERROR(((1/4)*G12+(3/4)*H12)/1000,"")</f>
        <v>146.92238494893243</v>
      </c>
      <c r="T12" s="46">
        <f t="shared" ref="T12" si="20">IFERROR(((1/4)*H12+(3/4)*I12)/1000,"")</f>
        <v>170.09547048290088</v>
      </c>
      <c r="U12" s="46">
        <f t="shared" ref="U12" si="21">IFERROR(((1/4)*I12+(3/4)*J12)/1000,"")</f>
        <v>187.46518232227427</v>
      </c>
      <c r="V12" s="46">
        <f t="shared" ref="V12" si="22">IFERROR(((1/4)*J12+(3/4)*K12)/1000,"")</f>
        <v>186.40611076563621</v>
      </c>
      <c r="W12" s="46">
        <f t="shared" ref="W12" si="23">IFERROR(((1/4)*K12+(3/4)*L12)/1000,"")</f>
        <v>200.50445646178935</v>
      </c>
      <c r="X12" s="46">
        <f t="shared" ref="X12" si="24">IFERROR(((1/4)*L12+(3/4)*M12)/1000,"")</f>
        <v>207.40232493198326</v>
      </c>
      <c r="Y12" s="46">
        <f t="shared" ref="Y12" si="25">IFERROR(((1/4)*M12+(3/4)*N12)/1000,"")</f>
        <v>216.16850959874046</v>
      </c>
      <c r="Z12" s="46">
        <f t="shared" ref="Z12" si="26">IFERROR(((1/4)*N12+(3/4)*O12)/1000,"")</f>
        <v>194.20354241453458</v>
      </c>
      <c r="AA12" s="189"/>
      <c r="AB12" s="189"/>
      <c r="AC12" s="189"/>
      <c r="AD12" s="189"/>
      <c r="AE12" s="189"/>
      <c r="AF12" s="189"/>
      <c r="AG12" s="189"/>
      <c r="AH12" s="189"/>
      <c r="AI12" s="189"/>
      <c r="AJ12" s="189"/>
      <c r="AK12" s="189"/>
      <c r="AL12" s="189"/>
      <c r="AM12" s="2"/>
      <c r="AN12" s="2"/>
      <c r="AO12" s="2"/>
      <c r="AP12" s="2"/>
      <c r="AQ12" s="2"/>
      <c r="AR12" s="2"/>
      <c r="AS12" s="2"/>
      <c r="AT12" s="2"/>
      <c r="AU12" s="2"/>
      <c r="AV12" s="2"/>
      <c r="AW12" s="2"/>
      <c r="AX12" s="2"/>
      <c r="AY12" s="2"/>
      <c r="AZ12" s="2"/>
      <c r="BA12" s="2"/>
      <c r="BB12" s="2"/>
      <c r="BC12" s="2"/>
      <c r="BD12" s="2"/>
      <c r="BE12" s="2"/>
      <c r="BF12" s="2"/>
      <c r="BG12" s="2"/>
    </row>
    <row r="13" spans="1:59" x14ac:dyDescent="0.25">
      <c r="A13" s="205"/>
      <c r="B13" s="43" t="s">
        <v>63</v>
      </c>
      <c r="C13" s="44" t="s">
        <v>64</v>
      </c>
      <c r="D13" s="45">
        <f>IFERROR((VLOOKUP($B13,'6'!$A$4:$M$19,2,FALSE)/1000),"")</f>
        <v>19435.449807749868</v>
      </c>
      <c r="E13" s="45">
        <f>IFERROR((VLOOKUP($B13,'6'!$A$4:$M$19,3,FALSE)/1000),"")</f>
        <v>19217.057018983865</v>
      </c>
      <c r="F13" s="45">
        <f>IFERROR((VLOOKUP($B13,'6'!$A$4:$M$19,4,FALSE)/1000),"")</f>
        <v>26202.30648409684</v>
      </c>
      <c r="G13" s="45">
        <f>IFERROR((VLOOKUP($B13,'6'!$A$4:$M$19,5,FALSE)/1000),"")</f>
        <v>25839.156930755973</v>
      </c>
      <c r="H13" s="45">
        <f>IFERROR((VLOOKUP($B13,'6'!$A$4:$M$19,6,FALSE)/1000),"")</f>
        <v>27352.637464569809</v>
      </c>
      <c r="I13" s="45">
        <f>IFERROR((VLOOKUP($B13,'6'!$A$4:$M$19,7,FALSE)/1000),"")</f>
        <v>24482.703747606549</v>
      </c>
      <c r="J13" s="45">
        <f>IFERROR((VLOOKUP($B13,'6'!$A$4:$M$19,8,FALSE)/1000),"")</f>
        <v>30923.708083535294</v>
      </c>
      <c r="K13" s="45">
        <f>IFERROR((VLOOKUP($B13,'6'!$A$4:$M$19,9,FALSE)/1000),"")</f>
        <v>43396.588395110171</v>
      </c>
      <c r="L13" s="45">
        <f>IFERROR((VLOOKUP($B13,'6'!$A$4:$M$19,10,FALSE)/1000),"")</f>
        <v>46950.232099306631</v>
      </c>
      <c r="M13" s="45">
        <f>IFERROR((VLOOKUP($B13,'6'!$A$4:$M$19,11,FALSE)/1000),"")</f>
        <v>34496.724298596389</v>
      </c>
      <c r="N13" s="45">
        <f>IFERROR((VLOOKUP($B13,'6'!$A$4:$M$19,12,FALSE)/1000),"")</f>
        <v>36304.666327377199</v>
      </c>
      <c r="O13" s="45">
        <f>IFERROR((VLOOKUP($B13,'6'!$A$4:$M$19,13,FALSE)/1000),"")</f>
        <v>50117.386998947426</v>
      </c>
      <c r="P13" s="46">
        <f t="shared" ref="P13:P24" si="27">IFERROR(((1/4)*D13+(3/4)*E13)/1000,"")</f>
        <v>19.271655216175368</v>
      </c>
      <c r="Q13" s="46">
        <f t="shared" ref="Q13:Q24" si="28">IFERROR(((1/4)*E13+(3/4)*F13)/1000,"")</f>
        <v>24.455994117818594</v>
      </c>
      <c r="R13" s="46">
        <f t="shared" ref="R13:R24" si="29">IFERROR(((1/4)*F13+(3/4)*G13)/1000,"")</f>
        <v>25.929944319091192</v>
      </c>
      <c r="S13" s="46">
        <f t="shared" ref="S13:S24" si="30">IFERROR(((1/4)*G13+(3/4)*H13)/1000,"")</f>
        <v>26.974267331116348</v>
      </c>
      <c r="T13" s="46">
        <f t="shared" ref="T13:T24" si="31">IFERROR(((1/4)*H13+(3/4)*I13)/1000,"")</f>
        <v>25.200187176847365</v>
      </c>
      <c r="U13" s="46">
        <f t="shared" ref="U13:U24" si="32">IFERROR(((1/4)*I13+(3/4)*J13)/1000,"")</f>
        <v>29.313456999553104</v>
      </c>
      <c r="V13" s="46">
        <f t="shared" ref="V13:V24" si="33">IFERROR(((1/4)*J13+(3/4)*K13)/1000,"")</f>
        <v>40.278368317216454</v>
      </c>
      <c r="W13" s="46">
        <f t="shared" ref="W13:W24" si="34">IFERROR(((1/4)*K13+(3/4)*L13)/1000,"")</f>
        <v>46.061821173257513</v>
      </c>
      <c r="X13" s="46">
        <f t="shared" ref="X13:X24" si="35">IFERROR(((1/4)*L13+(3/4)*M13)/1000,"")</f>
        <v>37.610101248773951</v>
      </c>
      <c r="Y13" s="46">
        <f t="shared" ref="Y13:Y24" si="36">IFERROR(((1/4)*M13+(3/4)*N13)/1000,"")</f>
        <v>35.852680820181995</v>
      </c>
      <c r="Z13" s="46">
        <f t="shared" ref="Z13:Z24" si="37">IFERROR(((1/4)*N13+(3/4)*O13)/1000,"")</f>
        <v>46.664206831054869</v>
      </c>
      <c r="AA13" s="189"/>
      <c r="AB13" s="189"/>
      <c r="AC13" s="189"/>
      <c r="AD13" s="189"/>
      <c r="AE13" s="189"/>
      <c r="AF13" s="189"/>
      <c r="AG13" s="189"/>
      <c r="AH13" s="189"/>
      <c r="AI13" s="189"/>
      <c r="AJ13" s="189"/>
      <c r="AK13" s="189"/>
      <c r="AL13" s="189"/>
      <c r="AM13" s="2"/>
      <c r="AN13" s="2"/>
      <c r="AO13" s="2"/>
      <c r="AP13" s="2"/>
      <c r="AQ13" s="2"/>
      <c r="AR13" s="2"/>
      <c r="AS13" s="2"/>
      <c r="AT13" s="2"/>
      <c r="AU13" s="2"/>
      <c r="AV13" s="2"/>
      <c r="AW13" s="2"/>
      <c r="AX13" s="2"/>
      <c r="AY13" s="2"/>
      <c r="AZ13" s="2"/>
      <c r="BA13" s="2"/>
      <c r="BB13" s="2"/>
      <c r="BC13" s="2"/>
      <c r="BD13" s="2"/>
      <c r="BE13" s="2"/>
      <c r="BF13" s="2"/>
      <c r="BG13" s="2"/>
    </row>
    <row r="14" spans="1:59" s="8" customFormat="1" x14ac:dyDescent="0.25">
      <c r="A14" s="205"/>
      <c r="B14" s="49" t="s">
        <v>65</v>
      </c>
      <c r="C14" s="50" t="s">
        <v>66</v>
      </c>
      <c r="D14" s="45">
        <f>IFERROR((VLOOKUP($B14,'6'!$A$4:$M$19,2,FALSE)/1000),"")</f>
        <v>18291.782133700955</v>
      </c>
      <c r="E14" s="45">
        <f>IFERROR((VLOOKUP($B14,'6'!$A$4:$M$19,3,FALSE)/1000),"")</f>
        <v>16304.437202706282</v>
      </c>
      <c r="F14" s="45">
        <f>IFERROR((VLOOKUP($B14,'6'!$A$4:$M$19,4,FALSE)/1000),"")</f>
        <v>20237.871711469761</v>
      </c>
      <c r="G14" s="45">
        <f>IFERROR((VLOOKUP($B14,'6'!$A$4:$M$19,5,FALSE)/1000),"")</f>
        <v>22650.579852791681</v>
      </c>
      <c r="H14" s="45">
        <f>IFERROR((VLOOKUP($B14,'6'!$A$4:$M$19,6,FALSE)/1000),"")</f>
        <v>27788.001733008376</v>
      </c>
      <c r="I14" s="45">
        <f>IFERROR((VLOOKUP($B14,'6'!$A$4:$M$19,7,FALSE)/1000),"")</f>
        <v>28837.005342153956</v>
      </c>
      <c r="J14" s="45">
        <f>IFERROR((VLOOKUP($B14,'6'!$A$4:$M$19,8,FALSE)/1000),"")</f>
        <v>22650.693875907706</v>
      </c>
      <c r="K14" s="45">
        <f>IFERROR((VLOOKUP($B14,'6'!$A$4:$M$19,9,FALSE)/1000),"")</f>
        <v>24051.810117167559</v>
      </c>
      <c r="L14" s="45">
        <f>IFERROR((VLOOKUP($B14,'6'!$A$4:$M$19,10,FALSE)/1000),"")</f>
        <v>31503.271552604929</v>
      </c>
      <c r="M14" s="45">
        <f>IFERROR((VLOOKUP($B14,'6'!$A$4:$M$19,11,FALSE)/1000),"")</f>
        <v>37085.506463576108</v>
      </c>
      <c r="N14" s="45">
        <f>IFERROR((VLOOKUP($B14,'6'!$A$4:$M$19,12,FALSE)/1000),"")</f>
        <v>49500.785397250234</v>
      </c>
      <c r="O14" s="45">
        <f>IFERROR((VLOOKUP($B14,'6'!$A$4:$M$19,13,FALSE)/1000),"")</f>
        <v>32972.04362838879</v>
      </c>
      <c r="P14" s="46">
        <f t="shared" si="27"/>
        <v>16.801273435454949</v>
      </c>
      <c r="Q14" s="46">
        <f t="shared" si="28"/>
        <v>19.254513084278891</v>
      </c>
      <c r="R14" s="46">
        <f t="shared" si="29"/>
        <v>22.047402817461204</v>
      </c>
      <c r="S14" s="46">
        <f t="shared" si="30"/>
        <v>26.503646262954199</v>
      </c>
      <c r="T14" s="46">
        <f t="shared" si="31"/>
        <v>28.574754439867565</v>
      </c>
      <c r="U14" s="46">
        <f t="shared" si="32"/>
        <v>24.197271742469269</v>
      </c>
      <c r="V14" s="46">
        <f t="shared" si="33"/>
        <v>23.701531056852591</v>
      </c>
      <c r="W14" s="46">
        <f t="shared" si="34"/>
        <v>29.640406193745584</v>
      </c>
      <c r="X14" s="46">
        <f t="shared" si="35"/>
        <v>35.689947735833307</v>
      </c>
      <c r="Y14" s="46">
        <f t="shared" si="36"/>
        <v>46.396965663831701</v>
      </c>
      <c r="Z14" s="46">
        <f t="shared" si="37"/>
        <v>37.104229070604156</v>
      </c>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row>
    <row r="15" spans="1:59" x14ac:dyDescent="0.25">
      <c r="A15" s="205"/>
      <c r="B15" s="43" t="s">
        <v>67</v>
      </c>
      <c r="C15" s="44" t="s">
        <v>68</v>
      </c>
      <c r="D15" s="45">
        <f>IFERROR((VLOOKUP($B15,'6'!$A$4:$M$19,2,FALSE)/1000),"")</f>
        <v>9267.0488670812101</v>
      </c>
      <c r="E15" s="45">
        <f>IFERROR((VLOOKUP($B15,'6'!$A$4:$M$19,3,FALSE)/1000),"")</f>
        <v>10127.996154765829</v>
      </c>
      <c r="F15" s="45">
        <f>IFERROR((VLOOKUP($B15,'6'!$A$4:$M$19,4,FALSE)/1000),"")</f>
        <v>9705.1543929606978</v>
      </c>
      <c r="G15" s="45">
        <f>IFERROR((VLOOKUP($B15,'6'!$A$4:$M$19,5,FALSE)/1000),"")</f>
        <v>10156.719640105292</v>
      </c>
      <c r="H15" s="45">
        <f>IFERROR((VLOOKUP($B15,'6'!$A$4:$M$19,6,FALSE)/1000),"")</f>
        <v>9998.4150186252155</v>
      </c>
      <c r="I15" s="45">
        <f>IFERROR((VLOOKUP($B15,'6'!$A$4:$M$19,7,FALSE)/1000),"")</f>
        <v>10030.716826342739</v>
      </c>
      <c r="J15" s="45">
        <f>IFERROR((VLOOKUP($B15,'6'!$A$4:$M$19,8,FALSE)/1000),"")</f>
        <v>11089.382836219442</v>
      </c>
      <c r="K15" s="45">
        <f>IFERROR((VLOOKUP($B15,'6'!$A$4:$M$19,9,FALSE)/1000),"")</f>
        <v>10888.52170832286</v>
      </c>
      <c r="L15" s="45">
        <f>IFERROR((VLOOKUP($B15,'6'!$A$4:$M$19,10,FALSE)/1000),"")</f>
        <v>12671.851467705017</v>
      </c>
      <c r="M15" s="45">
        <f>IFERROR((VLOOKUP($B15,'6'!$A$4:$M$19,11,FALSE)/1000),"")</f>
        <v>13826.915842632827</v>
      </c>
      <c r="N15" s="45">
        <f>IFERROR((VLOOKUP($B15,'6'!$A$4:$M$19,12,FALSE)/1000),"")</f>
        <v>14755.116676000984</v>
      </c>
      <c r="O15" s="45">
        <f>IFERROR((VLOOKUP($B15,'6'!$A$4:$M$19,13,FALSE)/1000),"")</f>
        <v>11928.36475004091</v>
      </c>
      <c r="P15" s="46">
        <f t="shared" si="27"/>
        <v>9.9127593328446739</v>
      </c>
      <c r="Q15" s="46">
        <f t="shared" si="28"/>
        <v>9.8108648334119799</v>
      </c>
      <c r="R15" s="46">
        <f t="shared" si="29"/>
        <v>10.043828328319144</v>
      </c>
      <c r="S15" s="46">
        <f t="shared" si="30"/>
        <v>10.037991173995234</v>
      </c>
      <c r="T15" s="46">
        <f t="shared" si="31"/>
        <v>10.022641374413359</v>
      </c>
      <c r="U15" s="46">
        <f t="shared" si="32"/>
        <v>10.824716333750267</v>
      </c>
      <c r="V15" s="46">
        <f t="shared" si="33"/>
        <v>10.938736990297006</v>
      </c>
      <c r="W15" s="46">
        <f t="shared" si="34"/>
        <v>12.226019027859477</v>
      </c>
      <c r="X15" s="46">
        <f t="shared" si="35"/>
        <v>13.538149748900874</v>
      </c>
      <c r="Y15" s="46">
        <f t="shared" si="36"/>
        <v>14.523066467658946</v>
      </c>
      <c r="Z15" s="46">
        <f t="shared" si="37"/>
        <v>12.635052731530926</v>
      </c>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row>
    <row r="16" spans="1:59" x14ac:dyDescent="0.25">
      <c r="A16" s="205"/>
      <c r="B16" s="43" t="s">
        <v>69</v>
      </c>
      <c r="C16" s="44" t="s">
        <v>70</v>
      </c>
      <c r="D16" s="45">
        <f>IFERROR((VLOOKUP($B16,'6'!$A$4:$M$19,2,FALSE)/1000),"")</f>
        <v>6830.1454250241441</v>
      </c>
      <c r="E16" s="45">
        <f>IFERROR((VLOOKUP($B16,'6'!$A$4:$M$19,3,FALSE)/1000),"")</f>
        <v>7498.1624203434912</v>
      </c>
      <c r="F16" s="45">
        <f>IFERROR((VLOOKUP($B16,'6'!$A$4:$M$19,4,FALSE)/1000),"")</f>
        <v>7689.6610383574962</v>
      </c>
      <c r="G16" s="45">
        <f>IFERROR((VLOOKUP($B16,'6'!$A$4:$M$19,5,FALSE)/1000),"")</f>
        <v>6538.4310574349465</v>
      </c>
      <c r="H16" s="45">
        <f>IFERROR((VLOOKUP($B16,'6'!$A$4:$M$19,6,FALSE)/1000),"")</f>
        <v>9010.8025256143665</v>
      </c>
      <c r="I16" s="45">
        <f>IFERROR((VLOOKUP($B16,'6'!$A$4:$M$19,7,FALSE)/1000),"")</f>
        <v>11558.877728617814</v>
      </c>
      <c r="J16" s="45">
        <f>IFERROR((VLOOKUP($B16,'6'!$A$4:$M$19,8,FALSE)/1000),"")</f>
        <v>8688.7756035744769</v>
      </c>
      <c r="K16" s="45">
        <f>IFERROR((VLOOKUP($B16,'6'!$A$4:$M$19,9,FALSE)/1000),"")</f>
        <v>8632.4347236214198</v>
      </c>
      <c r="L16" s="45">
        <f>IFERROR((VLOOKUP($B16,'6'!$A$4:$M$19,10,FALSE)/1000),"")</f>
        <v>9949.8630571653575</v>
      </c>
      <c r="M16" s="45">
        <f>IFERROR((VLOOKUP($B16,'6'!$A$4:$M$19,11,FALSE)/1000),"")</f>
        <v>9940.0857843208887</v>
      </c>
      <c r="N16" s="45">
        <f>IFERROR((VLOOKUP($B16,'6'!$A$4:$M$19,12,FALSE)/1000),"")</f>
        <v>12392.475787046265</v>
      </c>
      <c r="O16" s="45">
        <f>IFERROR((VLOOKUP($B16,'6'!$A$4:$M$19,13,FALSE)/1000),"")</f>
        <v>8525.4751712462476</v>
      </c>
      <c r="P16" s="46">
        <f t="shared" si="27"/>
        <v>7.3311581715136542</v>
      </c>
      <c r="Q16" s="46">
        <f t="shared" si="28"/>
        <v>7.6417863838539954</v>
      </c>
      <c r="R16" s="46">
        <f t="shared" si="29"/>
        <v>6.8262385526655835</v>
      </c>
      <c r="S16" s="46">
        <f t="shared" si="30"/>
        <v>8.39270965856951</v>
      </c>
      <c r="T16" s="46">
        <f t="shared" si="31"/>
        <v>10.921858927866952</v>
      </c>
      <c r="U16" s="46">
        <f t="shared" si="32"/>
        <v>9.4063011348353118</v>
      </c>
      <c r="V16" s="46">
        <f t="shared" si="33"/>
        <v>8.6465199436096842</v>
      </c>
      <c r="W16" s="46">
        <f t="shared" si="34"/>
        <v>9.620505973779375</v>
      </c>
      <c r="X16" s="46">
        <f t="shared" si="35"/>
        <v>9.9425301025320056</v>
      </c>
      <c r="Y16" s="46">
        <f t="shared" si="36"/>
        <v>11.779378286364921</v>
      </c>
      <c r="Z16" s="46">
        <f t="shared" si="37"/>
        <v>9.4922253251962516</v>
      </c>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row>
    <row r="17" spans="1:59" x14ac:dyDescent="0.25">
      <c r="A17" s="205"/>
      <c r="B17" s="43" t="s">
        <v>71</v>
      </c>
      <c r="C17" s="44" t="s">
        <v>72</v>
      </c>
      <c r="D17" s="45">
        <f>IFERROR((VLOOKUP($B17,'6'!$A$4:$M$19,2,FALSE)/1000),"")</f>
        <v>45110.593353037475</v>
      </c>
      <c r="E17" s="45">
        <f>IFERROR((VLOOKUP($B17,'6'!$A$4:$M$19,3,FALSE)/1000),"")</f>
        <v>44697.71067729967</v>
      </c>
      <c r="F17" s="45">
        <f>IFERROR((VLOOKUP($B17,'6'!$A$4:$M$19,4,FALSE)/1000),"")</f>
        <v>51211.069154827092</v>
      </c>
      <c r="G17" s="45">
        <f>IFERROR((VLOOKUP($B17,'6'!$A$4:$M$19,5,FALSE)/1000),"")</f>
        <v>57822.469626241116</v>
      </c>
      <c r="H17" s="45">
        <f>IFERROR((VLOOKUP($B17,'6'!$A$4:$M$19,6,FALSE)/1000),"")</f>
        <v>60925.366213609974</v>
      </c>
      <c r="I17" s="45">
        <f>IFERROR((VLOOKUP($B17,'6'!$A$4:$M$19,7,FALSE)/1000),"")</f>
        <v>67583.233323892564</v>
      </c>
      <c r="J17" s="45">
        <f>IFERROR((VLOOKUP($B17,'6'!$A$4:$M$19,8,FALSE)/1000),"")</f>
        <v>71927.017063594205</v>
      </c>
      <c r="K17" s="45">
        <f>IFERROR((VLOOKUP($B17,'6'!$A$4:$M$19,9,FALSE)/1000),"")</f>
        <v>74134.723674830879</v>
      </c>
      <c r="L17" s="45">
        <f>IFERROR((VLOOKUP($B17,'6'!$A$4:$M$19,10,FALSE)/1000),"")</f>
        <v>83550.581039804078</v>
      </c>
      <c r="M17" s="45">
        <f>IFERROR((VLOOKUP($B17,'6'!$A$4:$M$19,11,FALSE)/1000),"")</f>
        <v>81292.529061304667</v>
      </c>
      <c r="N17" s="45">
        <f>IFERROR((VLOOKUP($B17,'6'!$A$4:$M$19,12,FALSE)/1000),"")</f>
        <v>85416.217757056016</v>
      </c>
      <c r="O17" s="45">
        <f>IFERROR((VLOOKUP($B17,'6'!$A$4:$M$19,13,FALSE)/1000),"")</f>
        <v>70367.187093098182</v>
      </c>
      <c r="P17" s="46">
        <f t="shared" si="27"/>
        <v>44.800931346234123</v>
      </c>
      <c r="Q17" s="46">
        <f t="shared" si="28"/>
        <v>49.582729535445239</v>
      </c>
      <c r="R17" s="46">
        <f t="shared" si="29"/>
        <v>56.169619508387605</v>
      </c>
      <c r="S17" s="46">
        <f t="shared" si="30"/>
        <v>60.149642066767761</v>
      </c>
      <c r="T17" s="46">
        <f t="shared" si="31"/>
        <v>65.918766546321919</v>
      </c>
      <c r="U17" s="46">
        <f t="shared" si="32"/>
        <v>70.841071128668801</v>
      </c>
      <c r="V17" s="46">
        <f t="shared" si="33"/>
        <v>73.582797022021708</v>
      </c>
      <c r="W17" s="46">
        <f t="shared" si="34"/>
        <v>81.196616698560774</v>
      </c>
      <c r="X17" s="46">
        <f t="shared" si="35"/>
        <v>81.857042055929512</v>
      </c>
      <c r="Y17" s="46">
        <f t="shared" si="36"/>
        <v>84.385295583118193</v>
      </c>
      <c r="Z17" s="46">
        <f t="shared" si="37"/>
        <v>74.129444759087633</v>
      </c>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row>
    <row r="18" spans="1:59" x14ac:dyDescent="0.25">
      <c r="A18" s="205"/>
      <c r="B18" s="43" t="s">
        <v>73</v>
      </c>
      <c r="C18" s="51" t="s">
        <v>74</v>
      </c>
      <c r="D18" s="45">
        <f>IFERROR((VLOOKUP($B18,'6'!$A$4:$M$19,2,FALSE)/1000),"")</f>
        <v>1208.4634978737085</v>
      </c>
      <c r="E18" s="45">
        <f>IFERROR((VLOOKUP($B18,'6'!$A$4:$M$19,3,FALSE)/1000),"")</f>
        <v>1615.5064973530025</v>
      </c>
      <c r="F18" s="45">
        <f>IFERROR((VLOOKUP($B18,'6'!$A$4:$M$19,4,FALSE)/1000),"")</f>
        <v>1457.3746549434959</v>
      </c>
      <c r="G18" s="45">
        <f>IFERROR((VLOOKUP($B18,'6'!$A$4:$M$19,5,FALSE)/1000),"")</f>
        <v>1822.8071530643831</v>
      </c>
      <c r="H18" s="45">
        <f>IFERROR((VLOOKUP($B18,'6'!$A$4:$M$19,6,FALSE)/1000),"")</f>
        <v>1888.1149464482664</v>
      </c>
      <c r="I18" s="45">
        <f>IFERROR((VLOOKUP($B18,'6'!$A$4:$M$19,7,FALSE)/1000),"")</f>
        <v>2359.4733838632105</v>
      </c>
      <c r="J18" s="45">
        <f>IFERROR((VLOOKUP($B18,'6'!$A$4:$M$19,8,FALSE)/1000),"")</f>
        <v>2467.0238205860442</v>
      </c>
      <c r="K18" s="45">
        <f>IFERROR((VLOOKUP($B18,'6'!$A$4:$M$19,9,FALSE)/1000),"")</f>
        <v>2723.4263582628219</v>
      </c>
      <c r="L18" s="45">
        <f>IFERROR((VLOOKUP($B18,'6'!$A$4:$M$19,10,FALSE)/1000),"")</f>
        <v>4037.5373073848477</v>
      </c>
      <c r="M18" s="45">
        <f>IFERROR((VLOOKUP($B18,'6'!$A$4:$M$19,11,FALSE)/1000),"")</f>
        <v>2548.2105518091516</v>
      </c>
      <c r="N18" s="45">
        <f>IFERROR((VLOOKUP($B18,'6'!$A$4:$M$19,12,FALSE)/1000),"")</f>
        <v>2614.4744424840669</v>
      </c>
      <c r="O18" s="45">
        <f>IFERROR((VLOOKUP($B18,'6'!$A$4:$M$19,13,FALSE)/1000),"")</f>
        <v>1795.6057728275437</v>
      </c>
      <c r="P18" s="46">
        <f t="shared" si="27"/>
        <v>1.513745747483179</v>
      </c>
      <c r="Q18" s="46">
        <f t="shared" si="28"/>
        <v>1.4969076155458725</v>
      </c>
      <c r="R18" s="46">
        <f t="shared" si="29"/>
        <v>1.7314490285341613</v>
      </c>
      <c r="S18" s="46">
        <f t="shared" si="30"/>
        <v>1.8717879981022956</v>
      </c>
      <c r="T18" s="46">
        <f t="shared" si="31"/>
        <v>2.2416337745094741</v>
      </c>
      <c r="U18" s="46">
        <f t="shared" si="32"/>
        <v>2.4401362114053358</v>
      </c>
      <c r="V18" s="46">
        <f t="shared" si="33"/>
        <v>2.6593257238436272</v>
      </c>
      <c r="W18" s="46">
        <f t="shared" si="34"/>
        <v>3.7090095701043411</v>
      </c>
      <c r="X18" s="46">
        <f t="shared" si="35"/>
        <v>2.9205422407030754</v>
      </c>
      <c r="Y18" s="46">
        <f t="shared" si="36"/>
        <v>2.5979084698153385</v>
      </c>
      <c r="Z18" s="46">
        <f t="shared" si="37"/>
        <v>2.0003229402416745</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row>
    <row r="19" spans="1:59" x14ac:dyDescent="0.25">
      <c r="A19" s="205"/>
      <c r="B19" s="43" t="s">
        <v>75</v>
      </c>
      <c r="C19" s="51" t="s">
        <v>76</v>
      </c>
      <c r="D19" s="45">
        <f>IFERROR((VLOOKUP($B19,'6'!$A$4:$M$19,2,FALSE)/1000),"")</f>
        <v>4698.7818659001068</v>
      </c>
      <c r="E19" s="45">
        <f>IFERROR((VLOOKUP($B19,'6'!$A$4:$M$19,3,FALSE)/1000),"")</f>
        <v>4006.6785854991599</v>
      </c>
      <c r="F19" s="45">
        <f>IFERROR((VLOOKUP($B19,'6'!$A$4:$M$19,4,FALSE)/1000),"")</f>
        <v>5992.9676164025204</v>
      </c>
      <c r="G19" s="45">
        <f>IFERROR((VLOOKUP($B19,'6'!$A$4:$M$19,5,FALSE)/1000),"")</f>
        <v>4543.6976199615128</v>
      </c>
      <c r="H19" s="45">
        <f>IFERROR((VLOOKUP($B19,'6'!$A$4:$M$19,6,FALSE)/1000),"")</f>
        <v>5082.0393824803014</v>
      </c>
      <c r="I19" s="45">
        <f>IFERROR((VLOOKUP($B19,'6'!$A$4:$M$19,7,FALSE)/1000),"")</f>
        <v>9860.4905511285087</v>
      </c>
      <c r="J19" s="45">
        <f>IFERROR((VLOOKUP($B19,'6'!$A$4:$M$19,8,FALSE)/1000),"")</f>
        <v>3604.5556685311049</v>
      </c>
      <c r="K19" s="45">
        <f>IFERROR((VLOOKUP($B19,'6'!$A$4:$M$19,9,FALSE)/1000),"")</f>
        <v>4144.8662921394171</v>
      </c>
      <c r="L19" s="45">
        <f>IFERROR((VLOOKUP($B19,'6'!$A$4:$M$19,10,FALSE)/1000),"")</f>
        <v>11198.827242228721</v>
      </c>
      <c r="M19" s="45">
        <f>IFERROR((VLOOKUP($B19,'6'!$A$4:$M$19,11,FALSE)/1000),"")</f>
        <v>8857.7005084036373</v>
      </c>
      <c r="N19" s="45">
        <f>IFERROR((VLOOKUP($B19,'6'!$A$4:$M$19,12,FALSE)/1000),"")</f>
        <v>3190.0544590764284</v>
      </c>
      <c r="O19" s="45">
        <f>IFERROR((VLOOKUP($B19,'6'!$A$4:$M$19,13,FALSE)/1000),"")</f>
        <v>2832.341782626494</v>
      </c>
      <c r="P19" s="46">
        <f t="shared" si="27"/>
        <v>4.1797044055993968</v>
      </c>
      <c r="Q19" s="46">
        <f t="shared" si="28"/>
        <v>5.4963953586766801</v>
      </c>
      <c r="R19" s="46">
        <f t="shared" si="29"/>
        <v>4.906015119071764</v>
      </c>
      <c r="S19" s="46">
        <f t="shared" si="30"/>
        <v>4.9474539418506049</v>
      </c>
      <c r="T19" s="46">
        <f t="shared" si="31"/>
        <v>8.6658777589664577</v>
      </c>
      <c r="U19" s="46">
        <f t="shared" si="32"/>
        <v>5.1685393891804559</v>
      </c>
      <c r="V19" s="46">
        <f t="shared" si="33"/>
        <v>4.0097886362373396</v>
      </c>
      <c r="W19" s="46">
        <f t="shared" si="34"/>
        <v>9.435337004706394</v>
      </c>
      <c r="X19" s="46">
        <f t="shared" si="35"/>
        <v>9.4429821918599082</v>
      </c>
      <c r="Y19" s="46">
        <f t="shared" si="36"/>
        <v>4.6069659714082301</v>
      </c>
      <c r="Z19" s="46">
        <f t="shared" si="37"/>
        <v>2.9217699517389772</v>
      </c>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row>
    <row r="20" spans="1:59" x14ac:dyDescent="0.25">
      <c r="A20" s="205"/>
      <c r="B20" s="43" t="s">
        <v>77</v>
      </c>
      <c r="C20" s="51" t="s">
        <v>78</v>
      </c>
      <c r="D20" s="45">
        <f>IFERROR((VLOOKUP($B20,'6'!$A$4:$M$19,2,FALSE)/1000),"")</f>
        <v>22.137213684082031</v>
      </c>
      <c r="E20" s="45">
        <f>IFERROR((VLOOKUP($B20,'6'!$A$4:$M$19,3,FALSE)/1000),"")</f>
        <v>24.43873545742035</v>
      </c>
      <c r="F20" s="45">
        <f>IFERROR((VLOOKUP($B20,'6'!$A$4:$M$19,4,FALSE)/1000),"")</f>
        <v>11.146472839355468</v>
      </c>
      <c r="G20" s="45">
        <f>IFERROR((VLOOKUP($B20,'6'!$A$4:$M$19,5,FALSE)/1000),"")</f>
        <v>9.0877149791717535</v>
      </c>
      <c r="H20" s="45">
        <f>IFERROR((VLOOKUP($B20,'6'!$A$4:$M$19,6,FALSE)/1000),"")</f>
        <v>17.791927363634109</v>
      </c>
      <c r="I20" s="45">
        <f>IFERROR((VLOOKUP($B20,'6'!$A$4:$M$19,7,FALSE)/1000),"")</f>
        <v>61.114664253711702</v>
      </c>
      <c r="J20" s="45">
        <f>IFERROR((VLOOKUP($B20,'6'!$A$4:$M$19,8,FALSE)/1000),"")</f>
        <v>58.642090149745343</v>
      </c>
      <c r="K20" s="45">
        <f>IFERROR((VLOOKUP($B20,'6'!$A$4:$M$19,9,FALSE)/1000),"")</f>
        <v>65.635681179976089</v>
      </c>
      <c r="L20" s="45">
        <f>IFERROR((VLOOKUP($B20,'6'!$A$4:$M$19,10,FALSE)/1000),"")</f>
        <v>45.597454362869264</v>
      </c>
      <c r="M20" s="45">
        <f>IFERROR((VLOOKUP($B20,'6'!$A$4:$M$19,11,FALSE)/1000),"")</f>
        <v>36.107006820678713</v>
      </c>
      <c r="N20" s="45">
        <f>IFERROR((VLOOKUP($B20,'6'!$A$4:$M$19,12,FALSE)/1000),"")</f>
        <v>124.97285252380371</v>
      </c>
      <c r="O20" s="45">
        <f>IFERROR((VLOOKUP($B20,'6'!$A$4:$M$19,13,FALSE)/1000),"")</f>
        <v>63.377288835203274</v>
      </c>
      <c r="P20" s="46">
        <f t="shared" si="27"/>
        <v>2.386335501408577E-2</v>
      </c>
      <c r="Q20" s="46">
        <f t="shared" si="28"/>
        <v>1.4469538493871689E-2</v>
      </c>
      <c r="R20" s="46">
        <f t="shared" si="29"/>
        <v>9.6024044442176836E-3</v>
      </c>
      <c r="S20" s="46">
        <f t="shared" si="30"/>
        <v>1.5615874267518521E-2</v>
      </c>
      <c r="T20" s="46">
        <f t="shared" si="31"/>
        <v>5.0283980031192298E-2</v>
      </c>
      <c r="U20" s="46">
        <f t="shared" si="32"/>
        <v>5.9260233675736934E-2</v>
      </c>
      <c r="V20" s="46">
        <f t="shared" si="33"/>
        <v>6.3887283422418409E-2</v>
      </c>
      <c r="W20" s="46">
        <f t="shared" si="34"/>
        <v>5.0607011067145977E-2</v>
      </c>
      <c r="X20" s="46">
        <f t="shared" si="35"/>
        <v>3.8479618706226348E-2</v>
      </c>
      <c r="Y20" s="46">
        <f t="shared" si="36"/>
        <v>0.10275639109802247</v>
      </c>
      <c r="Z20" s="46">
        <f t="shared" si="37"/>
        <v>7.877617975735339E-2</v>
      </c>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1:59" x14ac:dyDescent="0.25">
      <c r="A21" s="205"/>
      <c r="B21" s="43" t="s">
        <v>79</v>
      </c>
      <c r="C21" s="51" t="s">
        <v>80</v>
      </c>
      <c r="D21" s="45">
        <f>IFERROR((VLOOKUP($B21,'6'!$A$4:$M$19,2,FALSE)/1000),"")</f>
        <v>156.31563218563795</v>
      </c>
      <c r="E21" s="45">
        <f>IFERROR((VLOOKUP($B21,'6'!$A$4:$M$19,3,FALSE)/1000),"")</f>
        <v>162.02382545125485</v>
      </c>
      <c r="F21" s="45">
        <f>IFERROR((VLOOKUP($B21,'6'!$A$4:$M$19,4,FALSE)/1000),"")</f>
        <v>182.03281403055786</v>
      </c>
      <c r="G21" s="45">
        <f>IFERROR((VLOOKUP($B21,'6'!$A$4:$M$19,5,FALSE)/1000),"")</f>
        <v>98.962414319887756</v>
      </c>
      <c r="H21" s="45">
        <f>IFERROR((VLOOKUP($B21,'6'!$A$4:$M$19,6,FALSE)/1000),"")</f>
        <v>225.91128117857875</v>
      </c>
      <c r="I21" s="45">
        <f>IFERROR((VLOOKUP($B21,'6'!$A$4:$M$19,7,FALSE)/1000),"")</f>
        <v>275.64944920271637</v>
      </c>
      <c r="J21" s="45">
        <f>IFERROR((VLOOKUP($B21,'6'!$A$4:$M$19,8,FALSE)/1000),"")</f>
        <v>249.0825637719864</v>
      </c>
      <c r="K21" s="45">
        <f>IFERROR((VLOOKUP($B21,'6'!$A$4:$M$19,9,FALSE)/1000),"")</f>
        <v>219.29655601385235</v>
      </c>
      <c r="L21" s="45">
        <f>IFERROR((VLOOKUP($B21,'6'!$A$4:$M$19,10,FALSE)/1000),"")</f>
        <v>369.92011472544448</v>
      </c>
      <c r="M21" s="45">
        <f>IFERROR((VLOOKUP($B21,'6'!$A$4:$M$19,11,FALSE)/1000),"")</f>
        <v>234.80338622042106</v>
      </c>
      <c r="N21" s="45">
        <f>IFERROR((VLOOKUP($B21,'6'!$A$4:$M$19,12,FALSE)/1000),"")</f>
        <v>216.41503742485932</v>
      </c>
      <c r="O21" s="45">
        <f>IFERROR((VLOOKUP($B21,'6'!$A$4:$M$19,13,FALSE)/1000),"")</f>
        <v>170.43322449829924</v>
      </c>
      <c r="P21" s="46">
        <f t="shared" si="27"/>
        <v>0.1605967771348506</v>
      </c>
      <c r="Q21" s="46">
        <f t="shared" si="28"/>
        <v>0.17703056688573213</v>
      </c>
      <c r="R21" s="46">
        <f t="shared" si="29"/>
        <v>0.11973001424755528</v>
      </c>
      <c r="S21" s="46">
        <f t="shared" si="30"/>
        <v>0.194174064463906</v>
      </c>
      <c r="T21" s="46">
        <f t="shared" si="31"/>
        <v>0.26321490719668195</v>
      </c>
      <c r="U21" s="46">
        <f t="shared" si="32"/>
        <v>0.25572428512966888</v>
      </c>
      <c r="V21" s="46">
        <f t="shared" si="33"/>
        <v>0.2267430579533859</v>
      </c>
      <c r="W21" s="46">
        <f t="shared" si="34"/>
        <v>0.33226422504754644</v>
      </c>
      <c r="X21" s="46">
        <f t="shared" si="35"/>
        <v>0.26858256834667693</v>
      </c>
      <c r="Y21" s="46">
        <f t="shared" si="36"/>
        <v>0.22101212462374978</v>
      </c>
      <c r="Z21" s="46">
        <f t="shared" si="37"/>
        <v>0.18192867772993926</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row>
    <row r="22" spans="1:59" x14ac:dyDescent="0.25">
      <c r="A22" s="205"/>
      <c r="B22" s="43" t="s">
        <v>81</v>
      </c>
      <c r="C22" s="51" t="s">
        <v>82</v>
      </c>
      <c r="D22" s="45">
        <f>IFERROR((VLOOKUP($B22,'6'!$A$4:$M$19,2,FALSE)/1000),"")</f>
        <v>0</v>
      </c>
      <c r="E22" s="45">
        <f>IFERROR((VLOOKUP($B22,'6'!$A$4:$M$19,3,FALSE)/1000),"")</f>
        <v>0</v>
      </c>
      <c r="F22" s="45">
        <f>IFERROR((VLOOKUP($B22,'6'!$A$4:$M$19,4,FALSE)/1000),"")</f>
        <v>0</v>
      </c>
      <c r="G22" s="45">
        <f>IFERROR((VLOOKUP($B22,'6'!$A$4:$M$19,5,FALSE)/1000),"")</f>
        <v>0.52778578186035152</v>
      </c>
      <c r="H22" s="45">
        <f>IFERROR((VLOOKUP($B22,'6'!$A$4:$M$19,6,FALSE)/1000),"")</f>
        <v>742.97463073378799</v>
      </c>
      <c r="I22" s="45">
        <f>IFERROR((VLOOKUP($B22,'6'!$A$4:$M$19,7,FALSE)/1000),"")</f>
        <v>1.7495306396484376</v>
      </c>
      <c r="J22" s="45">
        <f>IFERROR((VLOOKUP($B22,'6'!$A$4:$M$19,8,FALSE)/1000),"")</f>
        <v>0</v>
      </c>
      <c r="K22" s="45">
        <f>IFERROR((VLOOKUP($B22,'6'!$A$4:$M$19,9,FALSE)/1000),"")</f>
        <v>0</v>
      </c>
      <c r="L22" s="45">
        <f>IFERROR((VLOOKUP($B22,'6'!$A$4:$M$19,10,FALSE)/1000),"")</f>
        <v>9.2299347957733548</v>
      </c>
      <c r="M22" s="45">
        <f>IFERROR((VLOOKUP($B22,'6'!$A$4:$M$19,11,FALSE)/1000),"")</f>
        <v>2.2137162555009126E-4</v>
      </c>
      <c r="N22" s="45">
        <f>IFERROR((VLOOKUP($B22,'6'!$A$4:$M$19,12,FALSE)/1000),"")</f>
        <v>10.955119522094726</v>
      </c>
      <c r="O22" s="45">
        <f>IFERROR((VLOOKUP($B22,'6'!$A$4:$M$19,13,FALSE)/1000),"")</f>
        <v>2.8272672414779664E-2</v>
      </c>
      <c r="P22" s="46">
        <f t="shared" si="27"/>
        <v>0</v>
      </c>
      <c r="Q22" s="46">
        <f t="shared" si="28"/>
        <v>0</v>
      </c>
      <c r="R22" s="46">
        <f t="shared" si="29"/>
        <v>3.9583933639526363E-4</v>
      </c>
      <c r="S22" s="46">
        <f t="shared" si="30"/>
        <v>0.55736291949580608</v>
      </c>
      <c r="T22" s="46">
        <f t="shared" si="31"/>
        <v>0.18705580566318333</v>
      </c>
      <c r="U22" s="46">
        <f t="shared" si="32"/>
        <v>4.3738265991210938E-4</v>
      </c>
      <c r="V22" s="46">
        <f t="shared" si="33"/>
        <v>0</v>
      </c>
      <c r="W22" s="46">
        <f t="shared" si="34"/>
        <v>6.9224510968300167E-3</v>
      </c>
      <c r="X22" s="46">
        <f t="shared" si="35"/>
        <v>2.3076497276625016E-3</v>
      </c>
      <c r="Y22" s="46">
        <f t="shared" si="36"/>
        <v>8.216394984477432E-3</v>
      </c>
      <c r="Z22" s="46">
        <f t="shared" si="37"/>
        <v>2.7599843848347665E-3</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row>
    <row r="23" spans="1:59" s="8" customFormat="1" x14ac:dyDescent="0.25">
      <c r="A23" s="205"/>
      <c r="B23" s="49" t="s">
        <v>83</v>
      </c>
      <c r="C23" s="52" t="s">
        <v>84</v>
      </c>
      <c r="D23" s="45">
        <f>IFERROR((VLOOKUP($B23,'6'!$A$4:$M$19,2,FALSE)/1000),"")</f>
        <v>9036.5989053532376</v>
      </c>
      <c r="E23" s="45">
        <f>IFERROR((VLOOKUP($B23,'6'!$A$4:$M$19,3,FALSE)/1000),"")</f>
        <v>8297.7584388939886</v>
      </c>
      <c r="F23" s="45">
        <f>IFERROR((VLOOKUP($B23,'6'!$A$4:$M$19,4,FALSE)/1000),"")</f>
        <v>9486.604730560015</v>
      </c>
      <c r="G23" s="45">
        <f>IFERROR((VLOOKUP($B23,'6'!$A$4:$M$19,5,FALSE)/1000),"")</f>
        <v>9599.2871943257451</v>
      </c>
      <c r="H23" s="45">
        <f>IFERROR((VLOOKUP($B23,'6'!$A$4:$M$19,6,FALSE)/1000),"")</f>
        <v>12657.88022918205</v>
      </c>
      <c r="I23" s="45">
        <f>IFERROR((VLOOKUP($B23,'6'!$A$4:$M$19,7,FALSE)/1000),"")</f>
        <v>12696.674163077801</v>
      </c>
      <c r="J23" s="45">
        <f>IFERROR((VLOOKUP($B23,'6'!$A$4:$M$19,8,FALSE)/1000),"")</f>
        <v>13313.97821115079</v>
      </c>
      <c r="K23" s="45">
        <f>IFERROR((VLOOKUP($B23,'6'!$A$4:$M$19,9,FALSE)/1000),"")</f>
        <v>13540.113771101172</v>
      </c>
      <c r="L23" s="45">
        <f>IFERROR((VLOOKUP($B23,'6'!$A$4:$M$19,10,FALSE)/1000),"")</f>
        <v>16562.040205489659</v>
      </c>
      <c r="M23" s="45">
        <f>IFERROR((VLOOKUP($B23,'6'!$A$4:$M$19,11,FALSE)/1000),"")</f>
        <v>14867.372126340457</v>
      </c>
      <c r="N23" s="45">
        <f>IFERROR((VLOOKUP($B23,'6'!$A$4:$M$19,12,FALSE)/1000),"")</f>
        <v>18356.452965696571</v>
      </c>
      <c r="O23" s="45">
        <f>IFERROR((VLOOKUP($B23,'6'!$A$4:$M$19,13,FALSE)/1000),"")</f>
        <v>15930.795043383181</v>
      </c>
      <c r="P23" s="46">
        <f t="shared" si="27"/>
        <v>8.4824685555088024</v>
      </c>
      <c r="Q23" s="46">
        <f t="shared" si="28"/>
        <v>9.1893931576435079</v>
      </c>
      <c r="R23" s="46">
        <f t="shared" si="29"/>
        <v>9.5711165783843128</v>
      </c>
      <c r="S23" s="46">
        <f t="shared" si="30"/>
        <v>11.893231970467976</v>
      </c>
      <c r="T23" s="46">
        <f t="shared" si="31"/>
        <v>12.686975679603863</v>
      </c>
      <c r="U23" s="46">
        <f t="shared" si="32"/>
        <v>13.159652199132543</v>
      </c>
      <c r="V23" s="46">
        <f t="shared" si="33"/>
        <v>13.483579881113577</v>
      </c>
      <c r="W23" s="46">
        <f t="shared" si="34"/>
        <v>15.806558596892536</v>
      </c>
      <c r="X23" s="46">
        <f t="shared" si="35"/>
        <v>15.291039146127758</v>
      </c>
      <c r="Y23" s="46">
        <f t="shared" si="36"/>
        <v>17.484182755857542</v>
      </c>
      <c r="Z23" s="46">
        <f t="shared" si="37"/>
        <v>16.537209523961529</v>
      </c>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row>
    <row r="24" spans="1:59" x14ac:dyDescent="0.25">
      <c r="A24" s="205"/>
      <c r="B24" s="43" t="s">
        <v>85</v>
      </c>
      <c r="C24" s="51" t="s">
        <v>86</v>
      </c>
      <c r="D24" s="45">
        <f>IFERROR((VLOOKUP($B24,'6'!$A$4:$M$19,2,FALSE)/1000),"")</f>
        <v>646.34086366773533</v>
      </c>
      <c r="E24" s="45">
        <f>IFERROR((VLOOKUP($B24,'6'!$A$4:$M$19,3,FALSE)/1000),"")</f>
        <v>829.96304071262853</v>
      </c>
      <c r="F24" s="45">
        <f>IFERROR((VLOOKUP($B24,'6'!$A$4:$M$19,4,FALSE)/1000),"")</f>
        <v>632.02111319078813</v>
      </c>
      <c r="G24" s="45">
        <f>IFERROR((VLOOKUP($B24,'6'!$A$4:$M$19,5,FALSE)/1000),"")</f>
        <v>781.60359284931417</v>
      </c>
      <c r="H24" s="45">
        <f>IFERROR((VLOOKUP($B24,'6'!$A$4:$M$19,6,FALSE)/1000),"")</f>
        <v>1001.0336729927548</v>
      </c>
      <c r="I24" s="45">
        <f>IFERROR((VLOOKUP($B24,'6'!$A$4:$M$19,7,FALSE)/1000),"")</f>
        <v>2054.9595340773089</v>
      </c>
      <c r="J24" s="45">
        <f>IFERROR((VLOOKUP($B24,'6'!$A$4:$M$19,8,FALSE)/1000),"")</f>
        <v>1631.8008055063933</v>
      </c>
      <c r="K24" s="45">
        <f>IFERROR((VLOOKUP($B24,'6'!$A$4:$M$19,9,FALSE)/1000),"")</f>
        <v>2090.7542014713135</v>
      </c>
      <c r="L24" s="45">
        <f>IFERROR((VLOOKUP($B24,'6'!$A$4:$M$19,10,FALSE)/1000),"")</f>
        <v>3210.1231552395216</v>
      </c>
      <c r="M24" s="45">
        <f>IFERROR((VLOOKUP($B24,'6'!$A$4:$M$19,11,FALSE)/1000),"")</f>
        <v>2454.7311138094497</v>
      </c>
      <c r="N24" s="45">
        <f>IFERROR((VLOOKUP($B24,'6'!$A$4:$M$19,12,FALSE)/1000),"")</f>
        <v>3433.3449340717821</v>
      </c>
      <c r="O24" s="45">
        <f>IFERROR((VLOOKUP($B24,'6'!$A$4:$M$19,13,FALSE)/1000),"")</f>
        <v>2537.0839756314458</v>
      </c>
      <c r="P24" s="46">
        <f t="shared" si="27"/>
        <v>0.78405749645140521</v>
      </c>
      <c r="Q24" s="46">
        <f t="shared" si="28"/>
        <v>0.68150659507124833</v>
      </c>
      <c r="R24" s="46">
        <f t="shared" si="29"/>
        <v>0.74420797293468266</v>
      </c>
      <c r="S24" s="46">
        <f t="shared" si="30"/>
        <v>0.94617615295689461</v>
      </c>
      <c r="T24" s="46">
        <f t="shared" si="31"/>
        <v>1.7914780688061704</v>
      </c>
      <c r="U24" s="46">
        <f t="shared" si="32"/>
        <v>1.7375904876491222</v>
      </c>
      <c r="V24" s="46">
        <f t="shared" si="33"/>
        <v>1.9760158524800835</v>
      </c>
      <c r="W24" s="46">
        <f t="shared" si="34"/>
        <v>2.9302809167974693</v>
      </c>
      <c r="X24" s="46">
        <f t="shared" si="35"/>
        <v>2.6435791241669677</v>
      </c>
      <c r="Y24" s="46">
        <f t="shared" si="36"/>
        <v>3.1886914790061991</v>
      </c>
      <c r="Z24" s="46">
        <f t="shared" si="37"/>
        <v>2.76114921524153</v>
      </c>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59" x14ac:dyDescent="0.25">
      <c r="A25" s="205"/>
      <c r="B25" s="53" t="s">
        <v>87</v>
      </c>
      <c r="C25" s="54" t="s">
        <v>88</v>
      </c>
      <c r="D25" s="201" t="s">
        <v>50</v>
      </c>
      <c r="E25" s="201"/>
      <c r="F25" s="201"/>
      <c r="G25" s="201"/>
      <c r="H25" s="201"/>
      <c r="I25" s="201"/>
      <c r="J25" s="201"/>
      <c r="K25" s="201"/>
      <c r="L25" s="201"/>
      <c r="M25" s="201"/>
      <c r="N25" s="201"/>
      <c r="O25" s="201"/>
      <c r="P25" s="201"/>
      <c r="Q25" s="201"/>
      <c r="R25" s="201"/>
      <c r="S25" s="201"/>
      <c r="T25" s="201"/>
      <c r="U25" s="201"/>
      <c r="V25" s="201"/>
      <c r="W25" s="201"/>
      <c r="X25" s="201"/>
      <c r="Y25" s="201"/>
      <c r="Z25" s="201"/>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59" x14ac:dyDescent="0.25">
      <c r="A26" s="205"/>
      <c r="B26" s="53" t="s">
        <v>89</v>
      </c>
      <c r="C26" s="54" t="s">
        <v>90</v>
      </c>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1:59" x14ac:dyDescent="0.25">
      <c r="A27" s="205"/>
      <c r="B27" s="53" t="s">
        <v>91</v>
      </c>
      <c r="C27" s="54" t="s">
        <v>92</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59" x14ac:dyDescent="0.25">
      <c r="A28" s="204" t="s">
        <v>93</v>
      </c>
      <c r="B28" s="55" t="s">
        <v>94</v>
      </c>
      <c r="C28" s="40" t="s">
        <v>95</v>
      </c>
      <c r="D28" s="41">
        <f t="shared" ref="D28:Z28" si="38">SUM(D29:D37)</f>
        <v>55452.232983307003</v>
      </c>
      <c r="E28" s="41">
        <f t="shared" si="38"/>
        <v>60828.17650265641</v>
      </c>
      <c r="F28" s="41">
        <f t="shared" si="38"/>
        <v>64733.612098532787</v>
      </c>
      <c r="G28" s="41">
        <f t="shared" si="38"/>
        <v>69482.607800987098</v>
      </c>
      <c r="H28" s="41">
        <f t="shared" si="38"/>
        <v>75700.880857921758</v>
      </c>
      <c r="I28" s="41">
        <f t="shared" si="38"/>
        <v>83499.434126731358</v>
      </c>
      <c r="J28" s="41">
        <f t="shared" si="38"/>
        <v>91531.288892840777</v>
      </c>
      <c r="K28" s="41">
        <f t="shared" si="38"/>
        <v>93641.381347338131</v>
      </c>
      <c r="L28" s="41">
        <f t="shared" si="38"/>
        <v>94865.938654783007</v>
      </c>
      <c r="M28" s="41">
        <f t="shared" si="38"/>
        <v>106571.57552905746</v>
      </c>
      <c r="N28" s="41">
        <f t="shared" si="38"/>
        <v>119432.79043196935</v>
      </c>
      <c r="O28" s="41">
        <f t="shared" si="38"/>
        <v>114815.18812476766</v>
      </c>
      <c r="P28" s="42">
        <f t="shared" si="38"/>
        <v>59.484190622819064</v>
      </c>
      <c r="Q28" s="42">
        <f t="shared" si="38"/>
        <v>63.757253199563699</v>
      </c>
      <c r="R28" s="42">
        <f t="shared" si="38"/>
        <v>68.295358875373509</v>
      </c>
      <c r="S28" s="42">
        <f t="shared" si="38"/>
        <v>74.146312593688066</v>
      </c>
      <c r="T28" s="42">
        <f t="shared" si="38"/>
        <v>81.549795809528945</v>
      </c>
      <c r="U28" s="42">
        <f t="shared" si="38"/>
        <v>89.523325201313412</v>
      </c>
      <c r="V28" s="42">
        <f t="shared" si="38"/>
        <v>93.113858233713813</v>
      </c>
      <c r="W28" s="42">
        <f t="shared" si="38"/>
        <v>94.559799327921809</v>
      </c>
      <c r="X28" s="42">
        <f t="shared" si="38"/>
        <v>103.64516631048886</v>
      </c>
      <c r="Y28" s="42">
        <f t="shared" si="38"/>
        <v>116.21748670624137</v>
      </c>
      <c r="Z28" s="42">
        <f t="shared" si="38"/>
        <v>115.96958870156806</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59" x14ac:dyDescent="0.25">
      <c r="A29" s="204"/>
      <c r="B29" s="56" t="s">
        <v>96</v>
      </c>
      <c r="C29" s="51" t="s">
        <v>97</v>
      </c>
      <c r="D29" s="57">
        <f>IFERROR(VLOOKUP($B29,'7'!$A$5:$M$31,2,FALSE)/10^3,"")</f>
        <v>54055.064400000003</v>
      </c>
      <c r="E29" s="57">
        <f>IFERROR(VLOOKUP($B29,'7'!$A$5:$M$31,3,FALSE)/10^3,"")</f>
        <v>59798.870099999978</v>
      </c>
      <c r="F29" s="57">
        <f>IFERROR(VLOOKUP($B29,'7'!$A$5:$M$31,4,FALSE)/10^3,"")</f>
        <v>63036.8727</v>
      </c>
      <c r="G29" s="57">
        <f>IFERROR(VLOOKUP($B29,'7'!$A$5:$M$31,5,FALSE)/10^3,"")</f>
        <v>67775.736600000004</v>
      </c>
      <c r="H29" s="57">
        <f>IFERROR(VLOOKUP($B29,'7'!$A$5:$M$31,6,FALSE)/10^3,"")</f>
        <v>74399.703036218911</v>
      </c>
      <c r="I29" s="57">
        <f>IFERROR(VLOOKUP($B29,'7'!$A$5:$M$31,7,FALSE)/10^3,"")</f>
        <v>82156.085003089538</v>
      </c>
      <c r="J29" s="57">
        <f>IFERROR(VLOOKUP($B29,'7'!$A$5:$M$31,8,FALSE)/10^3,"")</f>
        <v>86538.788261826383</v>
      </c>
      <c r="K29" s="57">
        <f>IFERROR(VLOOKUP($B29,'7'!$A$5:$M$31,9,FALSE)/10^3,"")</f>
        <v>92161.942224169688</v>
      </c>
      <c r="L29" s="57">
        <f>IFERROR(VLOOKUP($B29,'7'!$A$5:$M$31,10,FALSE)/10^3,"")</f>
        <v>93942.513264369365</v>
      </c>
      <c r="M29" s="57">
        <f>IFERROR(VLOOKUP($B29,'7'!$A$5:$M$31,11,FALSE)/10^3,"")</f>
        <v>102579.38367752361</v>
      </c>
      <c r="N29" s="57">
        <f>IFERROR(VLOOKUP($B29,'7'!$A$5:$M$31,12,FALSE)/10^3,"")</f>
        <v>110918.10205377197</v>
      </c>
      <c r="O29" s="57">
        <f>IFERROR(VLOOKUP($B29,'7'!$A$5:$M$31,13,FALSE)/10^3,"")</f>
        <v>113269.22198304748</v>
      </c>
      <c r="P29" s="46">
        <f t="shared" ref="P29" si="39">IFERROR(((1/4)*D29+(3/4)*E29)/1000,"")</f>
        <v>58.362918674999989</v>
      </c>
      <c r="Q29" s="46">
        <f t="shared" ref="Q29" si="40">IFERROR(((1/4)*E29+(3/4)*F29)/1000,"")</f>
        <v>62.227372049999992</v>
      </c>
      <c r="R29" s="46">
        <f t="shared" ref="R29" si="41">IFERROR(((1/4)*F29+(3/4)*G29)/1000,"")</f>
        <v>66.591020624999999</v>
      </c>
      <c r="S29" s="46">
        <f t="shared" ref="S29" si="42">IFERROR(((1/4)*G29+(3/4)*H29)/1000,"")</f>
        <v>72.743711427164172</v>
      </c>
      <c r="T29" s="46">
        <f t="shared" ref="T29" si="43">IFERROR(((1/4)*H29+(3/4)*I29)/1000,"")</f>
        <v>80.216989511371878</v>
      </c>
      <c r="U29" s="46">
        <f t="shared" ref="U29" si="44">IFERROR(((1/4)*I29+(3/4)*J29)/1000,"")</f>
        <v>85.44311244714217</v>
      </c>
      <c r="V29" s="46">
        <f t="shared" ref="V29" si="45">IFERROR(((1/4)*J29+(3/4)*K29)/1000,"")</f>
        <v>90.756153733583872</v>
      </c>
      <c r="W29" s="46">
        <f t="shared" ref="W29" si="46">IFERROR(((1/4)*K29+(3/4)*L29)/1000,"")</f>
        <v>93.497370504319449</v>
      </c>
      <c r="X29" s="46">
        <f t="shared" ref="X29" si="47">IFERROR(((1/4)*L29+(3/4)*M29)/1000,"")</f>
        <v>100.42016607423506</v>
      </c>
      <c r="Y29" s="46">
        <f t="shared" ref="Y29" si="48">IFERROR(((1/4)*M29+(3/4)*N29)/1000,"")</f>
        <v>108.83342245970989</v>
      </c>
      <c r="Z29" s="46">
        <f t="shared" ref="Z29" si="49">IFERROR(((1/4)*N29+(3/4)*O29)/1000,"")</f>
        <v>112.68144200072859</v>
      </c>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1:59" x14ac:dyDescent="0.25">
      <c r="A30" s="204"/>
      <c r="B30" s="56" t="s">
        <v>98</v>
      </c>
      <c r="C30" s="51" t="s">
        <v>99</v>
      </c>
      <c r="D30" s="57">
        <f>IFERROR(VLOOKUP($B30,'7'!$A$5:$M$31,2,FALSE)/10^3,"")</f>
        <v>921.50942823791502</v>
      </c>
      <c r="E30" s="57">
        <f>IFERROR(VLOOKUP($B30,'7'!$A$5:$M$31,3,FALSE)/10^3,"")</f>
        <v>671.25506582751871</v>
      </c>
      <c r="F30" s="57">
        <f>IFERROR(VLOOKUP($B30,'7'!$A$5:$M$31,4,FALSE)/10^3,"")</f>
        <v>855.7892428283692</v>
      </c>
      <c r="G30" s="57">
        <f>IFERROR(VLOOKUP($B30,'7'!$A$5:$M$31,5,FALSE)/10^3,"")</f>
        <v>1129.2129314689637</v>
      </c>
      <c r="H30" s="57">
        <f>IFERROR(VLOOKUP($B30,'7'!$A$5:$M$31,6,FALSE)/10^3,"")</f>
        <v>928.05957862281798</v>
      </c>
      <c r="I30" s="57">
        <f>IFERROR(VLOOKUP($B30,'7'!$A$5:$M$31,7,FALSE)/10^3,"")</f>
        <v>1031.5719157266617</v>
      </c>
      <c r="J30" s="57">
        <f>IFERROR(VLOOKUP($B30,'7'!$A$5:$M$31,8,FALSE)/10^3,"")</f>
        <v>1016.4475736999511</v>
      </c>
      <c r="K30" s="57">
        <f>IFERROR(VLOOKUP($B30,'7'!$A$5:$M$31,9,FALSE)/10^3,"")</f>
        <v>957.53572750854494</v>
      </c>
      <c r="L30" s="57">
        <f>IFERROR(VLOOKUP($B30,'7'!$A$5:$M$31,10,FALSE)/10^3,"")</f>
        <v>368.82440624999998</v>
      </c>
      <c r="M30" s="57">
        <f>IFERROR(VLOOKUP($B30,'7'!$A$5:$M$31,11,FALSE)/10^3,"")</f>
        <v>2401.0901796875</v>
      </c>
      <c r="N30" s="57">
        <f>IFERROR(VLOOKUP($B30,'7'!$A$5:$M$31,12,FALSE)/10^3,"")</f>
        <v>861.15702130126954</v>
      </c>
      <c r="O30" s="57">
        <f>IFERROR(VLOOKUP($B30,'7'!$A$5:$M$31,13,FALSE)/10^3,"")</f>
        <v>1000.8854890441894</v>
      </c>
      <c r="P30" s="46">
        <f t="shared" ref="P30:P37" si="50">IFERROR(((1/4)*D30+(3/4)*E30)/1000,"")</f>
        <v>0.73381865643011779</v>
      </c>
      <c r="Q30" s="46">
        <f t="shared" ref="Q30:Q37" si="51">IFERROR(((1/4)*E30+(3/4)*F30)/1000,"")</f>
        <v>0.80965569857815645</v>
      </c>
      <c r="R30" s="46">
        <f t="shared" ref="R30:R37" si="52">IFERROR(((1/4)*F30+(3/4)*G30)/1000,"")</f>
        <v>1.0608570093088152</v>
      </c>
      <c r="S30" s="46">
        <f t="shared" ref="S30:S37" si="53">IFERROR(((1/4)*G30+(3/4)*H30)/1000,"")</f>
        <v>0.97834791683435451</v>
      </c>
      <c r="T30" s="46">
        <f t="shared" ref="T30:T37" si="54">IFERROR(((1/4)*H30+(3/4)*I30)/1000,"")</f>
        <v>1.0056938314507009</v>
      </c>
      <c r="U30" s="46">
        <f t="shared" ref="U30:U37" si="55">IFERROR(((1/4)*I30+(3/4)*J30)/1000,"")</f>
        <v>1.0202286592066288</v>
      </c>
      <c r="V30" s="46">
        <f t="shared" ref="V30:V37" si="56">IFERROR(((1/4)*J30+(3/4)*K30)/1000,"")</f>
        <v>0.97226368905639649</v>
      </c>
      <c r="W30" s="46">
        <f t="shared" ref="W30:W37" si="57">IFERROR(((1/4)*K30+(3/4)*L30)/1000,"")</f>
        <v>0.51600223656463617</v>
      </c>
      <c r="X30" s="46">
        <f t="shared" ref="X30:X37" si="58">IFERROR(((1/4)*L30+(3/4)*M30)/1000,"")</f>
        <v>1.8930237363281248</v>
      </c>
      <c r="Y30" s="46">
        <f t="shared" ref="Y30:Y37" si="59">IFERROR(((1/4)*M30+(3/4)*N30)/1000,"")</f>
        <v>1.2461403108978271</v>
      </c>
      <c r="Z30" s="46">
        <f t="shared" ref="Z30:Z37" si="60">IFERROR(((1/4)*N30+(3/4)*O30)/1000,"")</f>
        <v>0.96595337210845944</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row>
    <row r="31" spans="1:59" x14ac:dyDescent="0.25">
      <c r="A31" s="204"/>
      <c r="B31" s="56" t="s">
        <v>100</v>
      </c>
      <c r="C31" s="51" t="s">
        <v>101</v>
      </c>
      <c r="D31" s="57">
        <f>IFERROR(VLOOKUP($B31,'7'!$A$5:$M$31,2,FALSE)/10^3,"")</f>
        <v>417.57657062719761</v>
      </c>
      <c r="E31" s="57">
        <f>IFERROR(VLOOKUP($B31,'7'!$A$5:$M$31,3,FALSE)/10^3,"")</f>
        <v>292.36330985882876</v>
      </c>
      <c r="F31" s="57">
        <f>IFERROR(VLOOKUP($B31,'7'!$A$5:$M$31,4,FALSE)/10^3,"")</f>
        <v>766.0440780172944</v>
      </c>
      <c r="G31" s="57">
        <f>IFERROR(VLOOKUP($B31,'7'!$A$5:$M$31,5,FALSE)/10^3,"")</f>
        <v>301.7026837873459</v>
      </c>
      <c r="H31" s="57">
        <f>IFERROR(VLOOKUP($B31,'7'!$A$5:$M$31,6,FALSE)/10^3,"")</f>
        <v>198.48401131534575</v>
      </c>
      <c r="I31" s="57">
        <f>IFERROR(VLOOKUP($B31,'7'!$A$5:$M$31,7,FALSE)/10^3,"")</f>
        <v>179.66431106983126</v>
      </c>
      <c r="J31" s="57">
        <f>IFERROR(VLOOKUP($B31,'7'!$A$5:$M$31,8,FALSE)/10^3,"")</f>
        <v>3879.7948108211158</v>
      </c>
      <c r="K31" s="57">
        <f>IFERROR(VLOOKUP($B31,'7'!$A$5:$M$31,9,FALSE)/10^3,"")</f>
        <v>395.84463667076824</v>
      </c>
      <c r="L31" s="57">
        <f>IFERROR(VLOOKUP($B31,'7'!$A$5:$M$31,10,FALSE)/10^3,"")</f>
        <v>425.29150612393022</v>
      </c>
      <c r="M31" s="57">
        <f>IFERROR(VLOOKUP($B31,'7'!$A$5:$M$31,11,FALSE)/10^3,"")</f>
        <v>1292.7911017500758</v>
      </c>
      <c r="N31" s="57">
        <f>IFERROR(VLOOKUP($B31,'7'!$A$5:$M$31,12,FALSE)/10^3,"")</f>
        <v>347.21394463926555</v>
      </c>
      <c r="O31" s="57">
        <f>IFERROR(VLOOKUP($B31,'7'!$A$5:$M$31,13,FALSE)/10^3,"")</f>
        <v>344.84445130820666</v>
      </c>
      <c r="P31" s="46">
        <f t="shared" si="50"/>
        <v>0.32366662505092098</v>
      </c>
      <c r="Q31" s="46">
        <f t="shared" si="51"/>
        <v>0.64762388597767806</v>
      </c>
      <c r="R31" s="46">
        <f t="shared" si="52"/>
        <v>0.41778803234483303</v>
      </c>
      <c r="S31" s="46">
        <f t="shared" si="53"/>
        <v>0.22428867943334579</v>
      </c>
      <c r="T31" s="46">
        <f t="shared" si="54"/>
        <v>0.1843692361312099</v>
      </c>
      <c r="U31" s="46">
        <f t="shared" si="55"/>
        <v>2.9547621858832946</v>
      </c>
      <c r="V31" s="46">
        <f t="shared" si="56"/>
        <v>1.2668321802083551</v>
      </c>
      <c r="W31" s="46">
        <f t="shared" si="57"/>
        <v>0.41792978876063974</v>
      </c>
      <c r="X31" s="46">
        <f t="shared" si="58"/>
        <v>1.0759162028435394</v>
      </c>
      <c r="Y31" s="46">
        <f t="shared" si="59"/>
        <v>0.58360823391696814</v>
      </c>
      <c r="Z31" s="46">
        <f t="shared" si="60"/>
        <v>0.34543682464097136</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row>
    <row r="32" spans="1:59" x14ac:dyDescent="0.25">
      <c r="A32" s="204"/>
      <c r="B32" s="56" t="s">
        <v>102</v>
      </c>
      <c r="C32" s="58" t="s">
        <v>103</v>
      </c>
      <c r="D32" s="57" t="str">
        <f>IFERROR(VLOOKUP($B32,'7'!$A$5:$M$31,2,FALSE)/10^3,"")</f>
        <v/>
      </c>
      <c r="E32" s="57" t="str">
        <f>IFERROR(VLOOKUP($B32,'7'!$A$5:$M$31,3,FALSE)/10^3,"")</f>
        <v/>
      </c>
      <c r="F32" s="57" t="str">
        <f>IFERROR(VLOOKUP($B32,'7'!$A$5:$M$31,4,FALSE)/10^3,"")</f>
        <v/>
      </c>
      <c r="G32" s="57" t="str">
        <f>IFERROR(VLOOKUP($B32,'7'!$A$5:$M$31,5,FALSE)/10^3,"")</f>
        <v/>
      </c>
      <c r="H32" s="57" t="str">
        <f>IFERROR(VLOOKUP($B32,'7'!$A$5:$M$31,6,FALSE)/10^3,"")</f>
        <v/>
      </c>
      <c r="I32" s="57" t="str">
        <f>IFERROR(VLOOKUP($B32,'7'!$A$5:$M$31,7,FALSE)/10^3,"")</f>
        <v/>
      </c>
      <c r="J32" s="57" t="str">
        <f>IFERROR(VLOOKUP($B32,'7'!$A$5:$M$31,8,FALSE)/10^3,"")</f>
        <v/>
      </c>
      <c r="K32" s="57" t="str">
        <f>IFERROR(VLOOKUP($B32,'7'!$A$5:$M$31,9,FALSE)/10^3,"")</f>
        <v/>
      </c>
      <c r="L32" s="57" t="str">
        <f>IFERROR(VLOOKUP($B32,'7'!$A$5:$M$31,10,FALSE)/10^3,"")</f>
        <v/>
      </c>
      <c r="M32" s="57" t="str">
        <f>IFERROR(VLOOKUP($B32,'7'!$A$5:$M$31,11,FALSE)/10^3,"")</f>
        <v/>
      </c>
      <c r="N32" s="57" t="str">
        <f>IFERROR(VLOOKUP($B32,'7'!$A$5:$M$31,12,FALSE)/10^3,"")</f>
        <v/>
      </c>
      <c r="O32" s="57" t="str">
        <f>IFERROR(VLOOKUP($B32,'7'!$A$5:$M$31,13,FALSE)/10^3,"")</f>
        <v/>
      </c>
      <c r="P32" s="46" t="str">
        <f t="shared" si="50"/>
        <v/>
      </c>
      <c r="Q32" s="46" t="str">
        <f t="shared" si="51"/>
        <v/>
      </c>
      <c r="R32" s="46" t="str">
        <f t="shared" si="52"/>
        <v/>
      </c>
      <c r="S32" s="46" t="str">
        <f t="shared" si="53"/>
        <v/>
      </c>
      <c r="T32" s="46" t="str">
        <f t="shared" si="54"/>
        <v/>
      </c>
      <c r="U32" s="46" t="str">
        <f t="shared" si="55"/>
        <v/>
      </c>
      <c r="V32" s="46" t="str">
        <f t="shared" si="56"/>
        <v/>
      </c>
      <c r="W32" s="46" t="str">
        <f t="shared" si="57"/>
        <v/>
      </c>
      <c r="X32" s="46" t="str">
        <f t="shared" si="58"/>
        <v/>
      </c>
      <c r="Y32" s="46" t="str">
        <f t="shared" si="59"/>
        <v/>
      </c>
      <c r="Z32" s="46" t="str">
        <f t="shared" si="60"/>
        <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row>
    <row r="33" spans="1:59" x14ac:dyDescent="0.25">
      <c r="A33" s="204"/>
      <c r="B33" s="56" t="s">
        <v>104</v>
      </c>
      <c r="C33" s="44" t="s">
        <v>105</v>
      </c>
      <c r="D33" s="57">
        <f>IFERROR(VLOOKUP($B33,'7'!$A$5:$M$31,2,FALSE)/10^3,"")</f>
        <v>0.22353382436506217</v>
      </c>
      <c r="E33" s="57">
        <f>IFERROR(VLOOKUP($B33,'7'!$A$5:$M$31,3,FALSE)/10^3,"")</f>
        <v>1.9002108573913574E-3</v>
      </c>
      <c r="F33" s="57">
        <f>IFERROR(VLOOKUP($B33,'7'!$A$5:$M$31,4,FALSE)/10^3,"")</f>
        <v>0.35081729865074157</v>
      </c>
      <c r="G33" s="57">
        <f>IFERROR(VLOOKUP($B33,'7'!$A$5:$M$31,5,FALSE)/10^3,"")</f>
        <v>140.97979435491561</v>
      </c>
      <c r="H33" s="57">
        <f>IFERROR(VLOOKUP($B33,'7'!$A$5:$M$31,6,FALSE)/10^3,"")</f>
        <v>116.30615432739258</v>
      </c>
      <c r="I33" s="57">
        <f>IFERROR(VLOOKUP($B33,'7'!$A$5:$M$31,7,FALSE)/10^3,"")</f>
        <v>60.033147839665411</v>
      </c>
      <c r="J33" s="57">
        <f>IFERROR(VLOOKUP($B33,'7'!$A$5:$M$31,8,FALSE)/10^3,"")</f>
        <v>4.596801239848137</v>
      </c>
      <c r="K33" s="57">
        <f>IFERROR(VLOOKUP($B33,'7'!$A$5:$M$31,9,FALSE)/10^3,"")</f>
        <v>40.743932326793669</v>
      </c>
      <c r="L33" s="57">
        <f>IFERROR(VLOOKUP($B33,'7'!$A$5:$M$31,10,FALSE)/10^3,"")</f>
        <v>5.9215178642272948</v>
      </c>
      <c r="M33" s="57">
        <f>IFERROR(VLOOKUP($B33,'7'!$A$5:$M$31,11,FALSE)/10^3,"")</f>
        <v>196.01417399597167</v>
      </c>
      <c r="N33" s="57">
        <f>IFERROR(VLOOKUP($B33,'7'!$A$5:$M$31,12,FALSE)/10^3,"")</f>
        <v>243.9559120235443</v>
      </c>
      <c r="O33" s="57">
        <f>IFERROR(VLOOKUP($B33,'7'!$A$5:$M$31,13,FALSE)/10^3,"")</f>
        <v>59.325001915693285</v>
      </c>
      <c r="P33" s="46">
        <f t="shared" si="50"/>
        <v>5.730861423430906E-5</v>
      </c>
      <c r="Q33" s="46">
        <f t="shared" si="51"/>
        <v>2.63588026702404E-4</v>
      </c>
      <c r="R33" s="46">
        <f t="shared" si="52"/>
        <v>0.10582255009084938</v>
      </c>
      <c r="S33" s="46">
        <f t="shared" si="53"/>
        <v>0.12247456433427334</v>
      </c>
      <c r="T33" s="46">
        <f t="shared" si="54"/>
        <v>7.4101399461597203E-2</v>
      </c>
      <c r="U33" s="46">
        <f t="shared" si="55"/>
        <v>1.8455887889802455E-2</v>
      </c>
      <c r="V33" s="46">
        <f t="shared" si="56"/>
        <v>3.1707149555057282E-2</v>
      </c>
      <c r="W33" s="46">
        <f t="shared" si="57"/>
        <v>1.4627121479868889E-2</v>
      </c>
      <c r="X33" s="46">
        <f t="shared" si="58"/>
        <v>0.1484910099630356</v>
      </c>
      <c r="Y33" s="46">
        <f t="shared" si="59"/>
        <v>0.23197047751665112</v>
      </c>
      <c r="Z33" s="46">
        <f t="shared" si="60"/>
        <v>0.10548272944265603</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row>
    <row r="34" spans="1:59" x14ac:dyDescent="0.25">
      <c r="A34" s="204"/>
      <c r="B34" s="56" t="s">
        <v>106</v>
      </c>
      <c r="C34" s="44" t="s">
        <v>107</v>
      </c>
      <c r="D34" s="57">
        <f>IFERROR(VLOOKUP($B34,'7'!$A$5:$M$31,2,FALSE)/10^3,"")</f>
        <v>50.671845875569616</v>
      </c>
      <c r="E34" s="57">
        <f>IFERROR(VLOOKUP($B34,'7'!$A$5:$M$31,3,FALSE)/10^3,"")</f>
        <v>58.326719566999003</v>
      </c>
      <c r="F34" s="57">
        <f>IFERROR(VLOOKUP($B34,'7'!$A$5:$M$31,4,FALSE)/10^3,"")</f>
        <v>67.597875924214719</v>
      </c>
      <c r="G34" s="57">
        <f>IFERROR(VLOOKUP($B34,'7'!$A$5:$M$31,5,FALSE)/10^3,"")</f>
        <v>75.105918290853495</v>
      </c>
      <c r="H34" s="57">
        <f>IFERROR(VLOOKUP($B34,'7'!$A$5:$M$31,6,FALSE)/10^3,"")</f>
        <v>49.784601375937463</v>
      </c>
      <c r="I34" s="57">
        <f>IFERROR(VLOOKUP($B34,'7'!$A$5:$M$31,7,FALSE)/10^3,"")</f>
        <v>62.649725614175203</v>
      </c>
      <c r="J34" s="57">
        <f>IFERROR(VLOOKUP($B34,'7'!$A$5:$M$31,8,FALSE)/10^3,"")</f>
        <v>81.729292482480403</v>
      </c>
      <c r="K34" s="57">
        <f>IFERROR(VLOOKUP($B34,'7'!$A$5:$M$31,9,FALSE)/10^3,"")</f>
        <v>77.460680813596824</v>
      </c>
      <c r="L34" s="57">
        <f>IFERROR(VLOOKUP($B34,'7'!$A$5:$M$31,10,FALSE)/10^3,"")</f>
        <v>119.76649439761043</v>
      </c>
      <c r="M34" s="57">
        <f>IFERROR(VLOOKUP($B34,'7'!$A$5:$M$31,11,FALSE)/10^3,"")</f>
        <v>93.420529853403565</v>
      </c>
      <c r="N34" s="57">
        <f>IFERROR(VLOOKUP($B34,'7'!$A$5:$M$31,12,FALSE)/10^3,"")</f>
        <v>7054.8536445489972</v>
      </c>
      <c r="O34" s="57">
        <f>IFERROR(VLOOKUP($B34,'7'!$A$5:$M$31,13,FALSE)/10^3,"")</f>
        <v>128.52037033812701</v>
      </c>
      <c r="P34" s="46">
        <f t="shared" si="50"/>
        <v>5.6413001144141661E-2</v>
      </c>
      <c r="Q34" s="46">
        <f t="shared" si="51"/>
        <v>6.5280086834910794E-2</v>
      </c>
      <c r="R34" s="46">
        <f t="shared" si="52"/>
        <v>7.3228907699193796E-2</v>
      </c>
      <c r="S34" s="46">
        <f t="shared" si="53"/>
        <v>5.611493060466647E-2</v>
      </c>
      <c r="T34" s="46">
        <f t="shared" si="54"/>
        <v>5.9433444554615765E-2</v>
      </c>
      <c r="U34" s="46">
        <f t="shared" si="55"/>
        <v>7.6959400765404112E-2</v>
      </c>
      <c r="V34" s="46">
        <f t="shared" si="56"/>
        <v>7.8527833730817717E-2</v>
      </c>
      <c r="W34" s="46">
        <f t="shared" si="57"/>
        <v>0.10919004100160702</v>
      </c>
      <c r="X34" s="46">
        <f t="shared" si="58"/>
        <v>0.10000702098945528</v>
      </c>
      <c r="Y34" s="46">
        <f t="shared" si="59"/>
        <v>5.3144953658750991</v>
      </c>
      <c r="Z34" s="46">
        <f t="shared" si="60"/>
        <v>1.8601036888908444</v>
      </c>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row>
    <row r="35" spans="1:59" x14ac:dyDescent="0.25">
      <c r="A35" s="204"/>
      <c r="B35" s="56" t="s">
        <v>108</v>
      </c>
      <c r="C35" s="44" t="s">
        <v>109</v>
      </c>
      <c r="D35" s="57">
        <f>IFERROR(VLOOKUP($B35,'7'!$A$5:$M$31,2,FALSE)/10^3,"")</f>
        <v>9.9748458385467531E-2</v>
      </c>
      <c r="E35" s="57">
        <f>IFERROR(VLOOKUP($B35,'7'!$A$5:$M$31,3,FALSE)/10^3,"")</f>
        <v>0.3888676452636719</v>
      </c>
      <c r="F35" s="57">
        <f>IFERROR(VLOOKUP($B35,'7'!$A$5:$M$31,4,FALSE)/10^3,"")</f>
        <v>2.9540671386718751</v>
      </c>
      <c r="G35" s="57">
        <f>IFERROR(VLOOKUP($B35,'7'!$A$5:$M$31,5,FALSE)/10^3,"")</f>
        <v>51.894878784179689</v>
      </c>
      <c r="H35" s="57">
        <f>IFERROR(VLOOKUP($B35,'7'!$A$5:$M$31,6,FALSE)/10^3,"")</f>
        <v>0.48714444971084597</v>
      </c>
      <c r="I35" s="57">
        <f>IFERROR(VLOOKUP($B35,'7'!$A$5:$M$31,7,FALSE)/10^3,"")</f>
        <v>0.51361947607994085</v>
      </c>
      <c r="J35" s="57">
        <f>IFERROR(VLOOKUP($B35,'7'!$A$5:$M$31,8,FALSE)/10^3,"")</f>
        <v>7.1975535392761233E-2</v>
      </c>
      <c r="K35" s="57">
        <f>IFERROR(VLOOKUP($B35,'7'!$A$5:$M$31,9,FALSE)/10^3,"")</f>
        <v>4.9587149620056153E-3</v>
      </c>
      <c r="L35" s="57">
        <f>IFERROR(VLOOKUP($B35,'7'!$A$5:$M$31,10,FALSE)/10^3,"")</f>
        <v>1.5398113636970521</v>
      </c>
      <c r="M35" s="57">
        <f>IFERROR(VLOOKUP($B35,'7'!$A$5:$M$31,11,FALSE)/10^3,"")</f>
        <v>2.5802802140414713</v>
      </c>
      <c r="N35" s="57">
        <f>IFERROR(VLOOKUP($B35,'7'!$A$5:$M$31,12,FALSE)/10^3,"")</f>
        <v>0.62830569267272951</v>
      </c>
      <c r="O35" s="57">
        <f>IFERROR(VLOOKUP($B35,'7'!$A$5:$M$31,13,FALSE)/10^3,"")</f>
        <v>0.47414708423614504</v>
      </c>
      <c r="P35" s="46">
        <f t="shared" si="50"/>
        <v>3.1658784854412083E-4</v>
      </c>
      <c r="Q35" s="46">
        <f t="shared" si="51"/>
        <v>2.3127672653198246E-3</v>
      </c>
      <c r="R35" s="46">
        <f t="shared" si="52"/>
        <v>3.9659675872802738E-2</v>
      </c>
      <c r="S35" s="46">
        <f t="shared" si="53"/>
        <v>1.3339078033328058E-2</v>
      </c>
      <c r="T35" s="46">
        <f t="shared" si="54"/>
        <v>5.0700071948766711E-4</v>
      </c>
      <c r="U35" s="46">
        <f t="shared" si="55"/>
        <v>1.8238652056455613E-4</v>
      </c>
      <c r="V35" s="46">
        <f t="shared" si="56"/>
        <v>2.171292006969452E-5</v>
      </c>
      <c r="W35" s="46">
        <f t="shared" si="57"/>
        <v>1.1560982015132904E-3</v>
      </c>
      <c r="X35" s="46">
        <f t="shared" si="58"/>
        <v>2.3201630014553663E-3</v>
      </c>
      <c r="Y35" s="46">
        <f t="shared" si="59"/>
        <v>1.116299323014915E-3</v>
      </c>
      <c r="Z35" s="46">
        <f t="shared" si="60"/>
        <v>5.1268673634529121E-4</v>
      </c>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row>
    <row r="36" spans="1:59" x14ac:dyDescent="0.25">
      <c r="A36" s="204"/>
      <c r="B36" s="56" t="s">
        <v>110</v>
      </c>
      <c r="C36" s="44" t="s">
        <v>111</v>
      </c>
      <c r="D36" s="57">
        <f>IFERROR(VLOOKUP($B36,'7'!$A$5:$M$31,2,FALSE)/10^3,"")</f>
        <v>7.0874562835693355</v>
      </c>
      <c r="E36" s="57">
        <f>IFERROR(VLOOKUP($B36,'7'!$A$5:$M$31,3,FALSE)/10^3,"")</f>
        <v>6.9705395469665525</v>
      </c>
      <c r="F36" s="57">
        <f>IFERROR(VLOOKUP($B36,'7'!$A$5:$M$31,4,FALSE)/10^3,"")</f>
        <v>4.0033173255920413</v>
      </c>
      <c r="G36" s="57">
        <f>IFERROR(VLOOKUP($B36,'7'!$A$5:$M$31,5,FALSE)/10^3,"")</f>
        <v>7.974994300842285</v>
      </c>
      <c r="H36" s="57">
        <f>IFERROR(VLOOKUP($B36,'7'!$A$5:$M$31,6,FALSE)/10^3,"")</f>
        <v>8.0563316116333006</v>
      </c>
      <c r="I36" s="57">
        <f>IFERROR(VLOOKUP($B36,'7'!$A$5:$M$31,7,FALSE)/10^3,"")</f>
        <v>8.9164039154052741</v>
      </c>
      <c r="J36" s="57">
        <f>IFERROR(VLOOKUP($B36,'7'!$A$5:$M$31,8,FALSE)/10^3,"")</f>
        <v>9.8601772356033326</v>
      </c>
      <c r="K36" s="57">
        <f>IFERROR(VLOOKUP($B36,'7'!$A$5:$M$31,9,FALSE)/10^3,"")</f>
        <v>7.8491871337890622</v>
      </c>
      <c r="L36" s="57">
        <f>IFERROR(VLOOKUP($B36,'7'!$A$5:$M$31,10,FALSE)/10^3,"")</f>
        <v>2.0816544141769411</v>
      </c>
      <c r="M36" s="57">
        <f>IFERROR(VLOOKUP($B36,'7'!$A$5:$M$31,11,FALSE)/10^3,"")</f>
        <v>6.2955860328674316</v>
      </c>
      <c r="N36" s="57">
        <f>IFERROR(VLOOKUP($B36,'7'!$A$5:$M$31,12,FALSE)/10^3,"")</f>
        <v>6.8795499916076661</v>
      </c>
      <c r="O36" s="57">
        <f>IFERROR(VLOOKUP($B36,'7'!$A$5:$M$31,13,FALSE)/10^3,"")</f>
        <v>11.916682029724122</v>
      </c>
      <c r="P36" s="46">
        <f t="shared" si="50"/>
        <v>6.9997687311172483E-3</v>
      </c>
      <c r="Q36" s="46">
        <f t="shared" si="51"/>
        <v>4.74512288093567E-3</v>
      </c>
      <c r="R36" s="46">
        <f t="shared" si="52"/>
        <v>6.9820750570297246E-3</v>
      </c>
      <c r="S36" s="46">
        <f t="shared" si="53"/>
        <v>8.0359972839355465E-3</v>
      </c>
      <c r="T36" s="46">
        <f t="shared" si="54"/>
        <v>8.7013858394622799E-3</v>
      </c>
      <c r="U36" s="46">
        <f t="shared" si="55"/>
        <v>9.6242339055538188E-3</v>
      </c>
      <c r="V36" s="46">
        <f t="shared" si="56"/>
        <v>8.3519346592426311E-3</v>
      </c>
      <c r="W36" s="46">
        <f t="shared" si="57"/>
        <v>3.5235375940799712E-3</v>
      </c>
      <c r="X36" s="46">
        <f t="shared" si="58"/>
        <v>5.2421031281948086E-3</v>
      </c>
      <c r="Y36" s="46">
        <f t="shared" si="59"/>
        <v>6.7335590019226071E-3</v>
      </c>
      <c r="Z36" s="46">
        <f t="shared" si="60"/>
        <v>1.0657399020195009E-2</v>
      </c>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1:59" x14ac:dyDescent="0.25">
      <c r="A37" s="204"/>
      <c r="B37" s="56" t="s">
        <v>112</v>
      </c>
      <c r="C37" s="44" t="s">
        <v>111</v>
      </c>
      <c r="D37" s="59" t="str">
        <f>IFERROR(VLOOKUP($B37,'[1]7'!$A$5:$K$31,2,FALSE)/10^3,"")</f>
        <v/>
      </c>
      <c r="E37" s="59" t="str">
        <f>IFERROR(VLOOKUP($B37,'[1]7'!$A$5:$K$31,3,FALSE)/10^3,"")</f>
        <v/>
      </c>
      <c r="F37" s="59" t="str">
        <f>IFERROR(VLOOKUP($B37,'[1]7'!$A$5:$K$31,4,FALSE)/10^3,"")</f>
        <v/>
      </c>
      <c r="G37" s="59" t="str">
        <f>IFERROR(VLOOKUP($B37,'[1]7'!$A$5:$K$31,5,FALSE)/10^3,"")</f>
        <v/>
      </c>
      <c r="H37" s="59" t="str">
        <f>IFERROR(VLOOKUP($B37,'[1]7'!$A$5:$K$31,6,FALSE)/10^3,"")</f>
        <v/>
      </c>
      <c r="I37" s="59" t="str">
        <f>IFERROR(VLOOKUP($B37,'[1]7'!$A$5:$K$31,7,FALSE)/10^3,"")</f>
        <v/>
      </c>
      <c r="J37" s="59" t="str">
        <f>IFERROR(VLOOKUP($B37,'[1]7'!$A$5:$K$31,8,FALSE)/10^3,"")</f>
        <v/>
      </c>
      <c r="K37" s="59" t="str">
        <f>IFERROR(VLOOKUP($B37,'[1]7'!$A$5:$K$31,9,FALSE)/10^3,"")</f>
        <v/>
      </c>
      <c r="L37" s="59" t="str">
        <f>IFERROR(VLOOKUP($B37,'[1]7'!$A$5:$K$31,10,FALSE)/10^3,"")</f>
        <v/>
      </c>
      <c r="M37" s="59" t="str">
        <f>IFERROR(VLOOKUP($B37,'[1]7'!$A$5:$K$31,11,FALSE)/10^3,"")</f>
        <v/>
      </c>
      <c r="N37" s="59"/>
      <c r="O37" s="59"/>
      <c r="P37" s="46" t="str">
        <f t="shared" si="50"/>
        <v/>
      </c>
      <c r="Q37" s="46" t="str">
        <f t="shared" si="51"/>
        <v/>
      </c>
      <c r="R37" s="46" t="str">
        <f t="shared" si="52"/>
        <v/>
      </c>
      <c r="S37" s="46" t="str">
        <f t="shared" si="53"/>
        <v/>
      </c>
      <c r="T37" s="46" t="str">
        <f t="shared" si="54"/>
        <v/>
      </c>
      <c r="U37" s="46" t="str">
        <f t="shared" si="55"/>
        <v/>
      </c>
      <c r="V37" s="46" t="str">
        <f t="shared" si="56"/>
        <v/>
      </c>
      <c r="W37" s="46" t="str">
        <f t="shared" si="57"/>
        <v/>
      </c>
      <c r="X37" s="46" t="str">
        <f t="shared" si="58"/>
        <v/>
      </c>
      <c r="Y37" s="46" t="str">
        <f t="shared" si="59"/>
        <v/>
      </c>
      <c r="Z37" s="46">
        <f t="shared" si="60"/>
        <v>0</v>
      </c>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row>
    <row r="38" spans="1:59" x14ac:dyDescent="0.25">
      <c r="A38" s="204"/>
      <c r="B38" s="55" t="s">
        <v>113</v>
      </c>
      <c r="C38" s="40" t="s">
        <v>114</v>
      </c>
      <c r="D38" s="41">
        <f t="shared" ref="D38:X38" si="61">SUM(D39:D56)</f>
        <v>31565.924259786872</v>
      </c>
      <c r="E38" s="41">
        <f t="shared" si="61"/>
        <v>31810.655631093123</v>
      </c>
      <c r="F38" s="41">
        <f t="shared" si="61"/>
        <v>32232.726070201876</v>
      </c>
      <c r="G38" s="41">
        <f t="shared" si="61"/>
        <v>32836.234422227506</v>
      </c>
      <c r="H38" s="41">
        <f t="shared" si="61"/>
        <v>32409.405412287495</v>
      </c>
      <c r="I38" s="41">
        <f t="shared" si="61"/>
        <v>35221.75971574273</v>
      </c>
      <c r="J38" s="41">
        <f t="shared" si="61"/>
        <v>37630.574465812497</v>
      </c>
      <c r="K38" s="41">
        <f t="shared" si="61"/>
        <v>39948.878272874994</v>
      </c>
      <c r="L38" s="41">
        <f t="shared" si="61"/>
        <v>38793.510167030276</v>
      </c>
      <c r="M38" s="41">
        <f t="shared" si="61"/>
        <v>39004.880237297752</v>
      </c>
      <c r="N38" s="41">
        <f t="shared" si="61"/>
        <v>38797.183163640628</v>
      </c>
      <c r="O38" s="41">
        <f t="shared" si="61"/>
        <v>41700.398063336856</v>
      </c>
      <c r="P38" s="42">
        <f t="shared" si="61"/>
        <v>31.749472788266555</v>
      </c>
      <c r="Q38" s="42">
        <f t="shared" si="61"/>
        <v>32.127208460424683</v>
      </c>
      <c r="R38" s="42">
        <f t="shared" si="61"/>
        <v>32.685357334221095</v>
      </c>
      <c r="S38" s="42">
        <f t="shared" si="61"/>
        <v>32.516112664772493</v>
      </c>
      <c r="T38" s="42">
        <f t="shared" si="61"/>
        <v>34.518671139878919</v>
      </c>
      <c r="U38" s="42">
        <f t="shared" si="61"/>
        <v>37.028370778295056</v>
      </c>
      <c r="V38" s="42">
        <f t="shared" si="61"/>
        <v>39.369302321109373</v>
      </c>
      <c r="W38" s="42">
        <f t="shared" si="61"/>
        <v>39.08235219349146</v>
      </c>
      <c r="X38" s="42">
        <f t="shared" si="61"/>
        <v>38.952037719730889</v>
      </c>
      <c r="Y38" s="42">
        <f t="shared" ref="Y38:Z38" si="62">SUM(Y39:Y56)</f>
        <v>38.849107432054907</v>
      </c>
      <c r="Z38" s="42">
        <f t="shared" si="62"/>
        <v>40.974594338412793</v>
      </c>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row>
    <row r="39" spans="1:59" x14ac:dyDescent="0.25">
      <c r="A39" s="204"/>
      <c r="B39" s="56" t="s">
        <v>115</v>
      </c>
      <c r="C39" s="44" t="s">
        <v>116</v>
      </c>
      <c r="D39" s="57">
        <f>IFERROR(VLOOKUP($B39,'7'!$A$5:$M$31,2,FALSE)/10^3,"")</f>
        <v>20288.378186999998</v>
      </c>
      <c r="E39" s="57">
        <f>IFERROR(VLOOKUP($B39,'7'!$A$5:$M$31,3,FALSE)/10^3,"")</f>
        <v>20123.149662</v>
      </c>
      <c r="F39" s="57">
        <f>IFERROR(VLOOKUP($B39,'7'!$A$5:$M$31,4,FALSE)/10^3,"")</f>
        <v>20334.824779499999</v>
      </c>
      <c r="G39" s="57">
        <f>IFERROR(VLOOKUP($B39,'7'!$A$5:$M$31,5,FALSE)/10^3,"")</f>
        <v>19884.572631000003</v>
      </c>
      <c r="H39" s="57">
        <f>IFERROR(VLOOKUP($B39,'7'!$A$5:$M$31,6,FALSE)/10^3,"")</f>
        <v>19945.044503999998</v>
      </c>
      <c r="I39" s="57">
        <f>IFERROR(VLOOKUP($B39,'7'!$A$5:$M$31,7,FALSE)/10^3,"")</f>
        <v>21137.758834500004</v>
      </c>
      <c r="J39" s="57">
        <f>IFERROR(VLOOKUP($B39,'7'!$A$5:$M$31,8,FALSE)/10^3,"")</f>
        <v>21908.513088</v>
      </c>
      <c r="K39" s="57">
        <f>IFERROR(VLOOKUP($B39,'7'!$A$5:$M$31,9,FALSE)/10^3,"")</f>
        <v>22010.100651000001</v>
      </c>
      <c r="L39" s="57">
        <f>IFERROR(VLOOKUP($B39,'7'!$A$5:$M$31,10,FALSE)/10^3,"")</f>
        <v>22603.244548500003</v>
      </c>
      <c r="M39" s="57">
        <f>IFERROR(VLOOKUP($B39,'7'!$A$5:$M$31,11,FALSE)/10^3,"")</f>
        <v>22743.002049252405</v>
      </c>
      <c r="N39" s="57">
        <f>IFERROR(VLOOKUP($B39,'7'!$A$5:$M$31,12,FALSE)/10^3,"")</f>
        <v>22612.622224499999</v>
      </c>
      <c r="O39" s="57">
        <f>IFERROR(VLOOKUP($B39,'7'!$A$5:$M$31,13,FALSE)/10^3,"")</f>
        <v>24505.027816500002</v>
      </c>
      <c r="P39" s="46">
        <f t="shared" ref="P39" si="63">IFERROR(((1/4)*D39+(3/4)*E39)/1000,"")</f>
        <v>20.16445679325</v>
      </c>
      <c r="Q39" s="46">
        <f t="shared" ref="Q39" si="64">IFERROR(((1/4)*E39+(3/4)*F39)/1000,"")</f>
        <v>20.281906000125002</v>
      </c>
      <c r="R39" s="46">
        <f t="shared" ref="R39" si="65">IFERROR(((1/4)*F39+(3/4)*G39)/1000,"")</f>
        <v>19.997135668125004</v>
      </c>
      <c r="S39" s="46">
        <f t="shared" ref="S39" si="66">IFERROR(((1/4)*G39+(3/4)*H39)/1000,"")</f>
        <v>19.929926535749996</v>
      </c>
      <c r="T39" s="46">
        <f t="shared" ref="T39" si="67">IFERROR(((1/4)*H39+(3/4)*I39)/1000,"")</f>
        <v>20.839580251875002</v>
      </c>
      <c r="U39" s="46">
        <f t="shared" ref="U39" si="68">IFERROR(((1/4)*I39+(3/4)*J39)/1000,"")</f>
        <v>21.715824524624999</v>
      </c>
      <c r="V39" s="46">
        <f t="shared" ref="V39" si="69">IFERROR(((1/4)*J39+(3/4)*K39)/1000,"")</f>
        <v>21.98470376025</v>
      </c>
      <c r="W39" s="46">
        <f t="shared" ref="W39" si="70">IFERROR(((1/4)*K39+(3/4)*L39)/1000,"")</f>
        <v>22.454958574125001</v>
      </c>
      <c r="X39" s="46">
        <f t="shared" ref="X39" si="71">IFERROR(((1/4)*L39+(3/4)*M39)/1000,"")</f>
        <v>22.708062674064305</v>
      </c>
      <c r="Y39" s="46">
        <f t="shared" ref="Y39" si="72">IFERROR(((1/4)*M39+(3/4)*N39)/1000,"")</f>
        <v>22.6452171806881</v>
      </c>
      <c r="Z39" s="46">
        <f t="shared" ref="Z39" si="73">IFERROR(((1/4)*N39+(3/4)*O39)/1000,"")</f>
        <v>24.031926418499999</v>
      </c>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0" spans="1:59" x14ac:dyDescent="0.25">
      <c r="A40" s="204"/>
      <c r="B40" s="56" t="s">
        <v>117</v>
      </c>
      <c r="C40" s="44" t="s">
        <v>118</v>
      </c>
      <c r="D40" s="57">
        <f>IFERROR(VLOOKUP($B40,'7'!$A$5:$M$31,2,FALSE)/10^3,"")</f>
        <v>410.383810546875</v>
      </c>
      <c r="E40" s="57">
        <f>IFERROR(VLOOKUP($B40,'7'!$A$5:$M$31,3,FALSE)/10^3,"")</f>
        <v>416.07851669311526</v>
      </c>
      <c r="F40" s="57">
        <f>IFERROR(VLOOKUP($B40,'7'!$A$5:$M$31,4,FALSE)/10^3,"")</f>
        <v>245.453857421875</v>
      </c>
      <c r="G40" s="57">
        <f>IFERROR(VLOOKUP($B40,'7'!$A$5:$M$31,5,FALSE)/10^3,"")</f>
        <v>496.6454921875</v>
      </c>
      <c r="H40" s="57">
        <f>IFERROR(VLOOKUP($B40,'7'!$A$5:$M$31,6,FALSE)/10^3,"")</f>
        <v>638.25105468749996</v>
      </c>
      <c r="I40" s="57">
        <f>IFERROR(VLOOKUP($B40,'7'!$A$5:$M$31,7,FALSE)/10^3,"")</f>
        <v>589.82284892272946</v>
      </c>
      <c r="J40" s="57">
        <f>IFERROR(VLOOKUP($B40,'7'!$A$5:$M$31,8,FALSE)/10^3,"")</f>
        <v>1335.8635078125001</v>
      </c>
      <c r="K40" s="57">
        <f>IFERROR(VLOOKUP($B40,'7'!$A$5:$M$31,9,FALSE)/10^3,"")</f>
        <v>2217.9456718749998</v>
      </c>
      <c r="L40" s="57">
        <f>IFERROR(VLOOKUP($B40,'7'!$A$5:$M$31,10,FALSE)/10^3,"")</f>
        <v>759.62286853027342</v>
      </c>
      <c r="M40" s="57">
        <f>IFERROR(VLOOKUP($B40,'7'!$A$5:$M$31,11,FALSE)/10^3,"")</f>
        <v>0.65984804534912112</v>
      </c>
      <c r="N40" s="57">
        <f>IFERROR(VLOOKUP($B40,'7'!$A$5:$M$31,12,FALSE)/10^3,"")</f>
        <v>18.373869140625001</v>
      </c>
      <c r="O40" s="57">
        <f>IFERROR(VLOOKUP($B40,'7'!$A$5:$M$31,13,FALSE)/10^3,"")</f>
        <v>3.7467968368530276</v>
      </c>
      <c r="P40" s="46">
        <f t="shared" ref="P40" si="74">IFERROR(((1/4)*D40+(3/4)*E40)/1000,"")</f>
        <v>0.41465484015655524</v>
      </c>
      <c r="Q40" s="46">
        <f t="shared" ref="Q40" si="75">IFERROR(((1/4)*E40+(3/4)*F40)/1000,"")</f>
        <v>0.28811002223968507</v>
      </c>
      <c r="R40" s="46">
        <f t="shared" ref="R40" si="76">IFERROR(((1/4)*F40+(3/4)*G40)/1000,"")</f>
        <v>0.43384758349609376</v>
      </c>
      <c r="S40" s="46">
        <f t="shared" ref="S40" si="77">IFERROR(((1/4)*G40+(3/4)*H40)/1000,"")</f>
        <v>0.60284966406249996</v>
      </c>
      <c r="T40" s="46">
        <f t="shared" ref="T40" si="78">IFERROR(((1/4)*H40+(3/4)*I40)/1000,"")</f>
        <v>0.60192990036392213</v>
      </c>
      <c r="U40" s="46">
        <f t="shared" ref="U40" si="79">IFERROR(((1/4)*I40+(3/4)*J40)/1000,"")</f>
        <v>1.1493533430900575</v>
      </c>
      <c r="V40" s="46">
        <f t="shared" ref="V40" si="80">IFERROR(((1/4)*J40+(3/4)*K40)/1000,"")</f>
        <v>1.9974251308593749</v>
      </c>
      <c r="W40" s="46">
        <f t="shared" ref="W40" si="81">IFERROR(((1/4)*K40+(3/4)*L40)/1000,"")</f>
        <v>1.1242035693664549</v>
      </c>
      <c r="X40" s="46">
        <f t="shared" ref="X40" si="82">IFERROR(((1/4)*L40+(3/4)*M40)/1000,"")</f>
        <v>0.1904006031665802</v>
      </c>
      <c r="Y40" s="46">
        <f t="shared" ref="Y40" si="83">IFERROR(((1/4)*M40+(3/4)*N40)/1000,"")</f>
        <v>1.394536386680603E-2</v>
      </c>
      <c r="Z40" s="46">
        <f t="shared" ref="Z40" si="84">IFERROR(((1/4)*N40+(3/4)*O40)/1000,"")</f>
        <v>7.4035649127960216E-3</v>
      </c>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row>
    <row r="41" spans="1:59" x14ac:dyDescent="0.25">
      <c r="A41" s="204"/>
      <c r="B41" s="56" t="s">
        <v>119</v>
      </c>
      <c r="C41" s="44" t="s">
        <v>120</v>
      </c>
      <c r="D41" s="202" t="s">
        <v>121</v>
      </c>
      <c r="E41" s="203"/>
      <c r="F41" s="203"/>
      <c r="G41" s="203"/>
      <c r="H41" s="203"/>
      <c r="I41" s="203"/>
      <c r="J41" s="203"/>
      <c r="K41" s="203"/>
      <c r="L41" s="203"/>
      <c r="M41" s="203"/>
      <c r="N41" s="203"/>
      <c r="O41" s="203"/>
      <c r="P41" s="203"/>
      <c r="Q41" s="203"/>
      <c r="R41" s="203"/>
      <c r="S41" s="203"/>
      <c r="T41" s="203"/>
      <c r="U41" s="203"/>
      <c r="V41" s="203"/>
      <c r="W41" s="203"/>
      <c r="X41" s="203"/>
      <c r="Y41" s="203"/>
      <c r="Z41" s="203"/>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2" spans="1:59" x14ac:dyDescent="0.25">
      <c r="A42" s="204"/>
      <c r="B42" s="56" t="s">
        <v>122</v>
      </c>
      <c r="C42" s="44" t="s">
        <v>123</v>
      </c>
      <c r="D42" s="57">
        <f>IFERROR(VLOOKUP($B42,'7'!$A$5:$M$31,2,FALSE)/10^3,"")</f>
        <v>340.37999999999988</v>
      </c>
      <c r="E42" s="57">
        <f>IFERROR(VLOOKUP($B42,'7'!$A$5:$M$31,3,FALSE)/10^3,"")</f>
        <v>326.43</v>
      </c>
      <c r="F42" s="57">
        <f>IFERROR(VLOOKUP($B42,'7'!$A$5:$M$31,4,FALSE)/10^3,"")</f>
        <v>337.58999999999986</v>
      </c>
      <c r="G42" s="57">
        <f>IFERROR(VLOOKUP($B42,'7'!$A$5:$M$31,5,FALSE)/10^3,"")</f>
        <v>239.94</v>
      </c>
      <c r="H42" s="57">
        <f>IFERROR(VLOOKUP($B42,'7'!$A$5:$M$31,6,FALSE)/10^3,"")</f>
        <v>234.35999999999993</v>
      </c>
      <c r="I42" s="57">
        <f>IFERROR(VLOOKUP($B42,'7'!$A$5:$M$31,7,FALSE)/10^3,"")</f>
        <v>343.16999999999996</v>
      </c>
      <c r="J42" s="57">
        <f>IFERROR(VLOOKUP($B42,'7'!$A$5:$M$31,8,FALSE)/10^3,"")</f>
        <v>343.16999999999996</v>
      </c>
      <c r="K42" s="57">
        <f>IFERROR(VLOOKUP($B42,'7'!$A$5:$M$31,9,FALSE)/10^3,"")</f>
        <v>329.22</v>
      </c>
      <c r="L42" s="57">
        <f>IFERROR(VLOOKUP($B42,'7'!$A$5:$M$31,10,FALSE)/10^3,"")</f>
        <v>276.20999999999998</v>
      </c>
      <c r="M42" s="57">
        <f>IFERROR(VLOOKUP($B42,'7'!$A$5:$M$31,11,FALSE)/10^3,"")</f>
        <v>237.15</v>
      </c>
      <c r="N42" s="57">
        <f>IFERROR(VLOOKUP($B42,'7'!$A$5:$M$31,12,FALSE)/10^3,"")</f>
        <v>242.73</v>
      </c>
      <c r="O42" s="57">
        <f>IFERROR(VLOOKUP($B42,'7'!$A$5:$M$31,13,FALSE)/10^3,"")</f>
        <v>239.94</v>
      </c>
      <c r="P42" s="46">
        <f t="shared" ref="P42" si="85">IFERROR(((1/4)*D42+(3/4)*E42)/1000,"")</f>
        <v>0.32991749999999997</v>
      </c>
      <c r="Q42" s="46">
        <f t="shared" ref="Q42" si="86">IFERROR(((1/4)*E42+(3/4)*F42)/1000,"")</f>
        <v>0.33479999999999988</v>
      </c>
      <c r="R42" s="46">
        <f t="shared" ref="R42" si="87">IFERROR(((1/4)*F42+(3/4)*G42)/1000,"")</f>
        <v>0.26435249999999999</v>
      </c>
      <c r="S42" s="46">
        <f t="shared" ref="S42" si="88">IFERROR(((1/4)*G42+(3/4)*H42)/1000,"")</f>
        <v>0.23575499999999994</v>
      </c>
      <c r="T42" s="46">
        <f t="shared" ref="T42" si="89">IFERROR(((1/4)*H42+(3/4)*I42)/1000,"")</f>
        <v>0.3159674999999999</v>
      </c>
      <c r="U42" s="46">
        <f t="shared" ref="U42" si="90">IFERROR(((1/4)*I42+(3/4)*J42)/1000,"")</f>
        <v>0.34316999999999998</v>
      </c>
      <c r="V42" s="46">
        <f t="shared" ref="V42" si="91">IFERROR(((1/4)*J42+(3/4)*K42)/1000,"")</f>
        <v>0.33270749999999999</v>
      </c>
      <c r="W42" s="46">
        <f t="shared" ref="W42" si="92">IFERROR(((1/4)*K42+(3/4)*L42)/1000,"")</f>
        <v>0.28946249999999996</v>
      </c>
      <c r="X42" s="46">
        <f t="shared" ref="X42" si="93">IFERROR(((1/4)*L42+(3/4)*M42)/1000,"")</f>
        <v>0.24691500000000002</v>
      </c>
      <c r="Y42" s="46">
        <f t="shared" ref="Y42" si="94">IFERROR(((1/4)*M42+(3/4)*N42)/1000,"")</f>
        <v>0.24133499999999997</v>
      </c>
      <c r="Z42" s="46">
        <f t="shared" ref="Z42" si="95">IFERROR(((1/4)*N42+(3/4)*O42)/1000,"")</f>
        <v>0.24063749999999998</v>
      </c>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row>
    <row r="43" spans="1:59" x14ac:dyDescent="0.25">
      <c r="A43" s="204"/>
      <c r="B43" s="56" t="s">
        <v>124</v>
      </c>
      <c r="C43" s="44" t="s">
        <v>125</v>
      </c>
      <c r="D43" s="57">
        <f>IFERROR(VLOOKUP($B43,'7'!$A$5:$M$31,2,FALSE)/10^3,"")</f>
        <v>58.003000000000007</v>
      </c>
      <c r="E43" s="57">
        <f>IFERROR(VLOOKUP($B43,'7'!$A$5:$M$31,3,FALSE)/10^3,"")</f>
        <v>71.103999999999999</v>
      </c>
      <c r="F43" s="57">
        <f>IFERROR(VLOOKUP($B43,'7'!$A$5:$M$31,4,FALSE)/10^3,"")</f>
        <v>101.14500000000001</v>
      </c>
      <c r="G43" s="57">
        <f>IFERROR(VLOOKUP($B43,'7'!$A$5:$M$31,5,FALSE)/10^3,"")</f>
        <v>107.15100000000001</v>
      </c>
      <c r="H43" s="57">
        <f>IFERROR(VLOOKUP($B43,'7'!$A$5:$M$31,6,FALSE)/10^3,"")</f>
        <v>73.204999999999998</v>
      </c>
      <c r="I43" s="57">
        <f>IFERROR(VLOOKUP($B43,'7'!$A$5:$M$31,7,FALSE)/10^3,"")</f>
        <v>24.222000000000005</v>
      </c>
      <c r="J43" s="57">
        <f>IFERROR(VLOOKUP($B43,'7'!$A$5:$M$31,8,FALSE)/10^3,"")</f>
        <v>49.170000000000009</v>
      </c>
      <c r="K43" s="57">
        <f>IFERROR(VLOOKUP($B43,'7'!$A$5:$M$31,9,FALSE)/10^3,"")</f>
        <v>73.028999999999996</v>
      </c>
      <c r="L43" s="57">
        <f>IFERROR(VLOOKUP($B43,'7'!$A$5:$M$31,10,FALSE)/10^3,"")</f>
        <v>78.078000000000003</v>
      </c>
      <c r="M43" s="57">
        <f>IFERROR(VLOOKUP($B43,'7'!$A$5:$M$31,11,FALSE)/10^3,"")</f>
        <v>86.658000000000001</v>
      </c>
      <c r="N43" s="57">
        <f>IFERROR(VLOOKUP($B43,'7'!$A$5:$M$31,12,FALSE)/10^3,"")</f>
        <v>95.89800000000001</v>
      </c>
      <c r="O43" s="57">
        <f>IFERROR(VLOOKUP($B43,'7'!$A$5:$M$31,13,FALSE)/10^3,"")</f>
        <v>91.817000000000021</v>
      </c>
      <c r="P43" s="46">
        <f t="shared" ref="P43:P45" si="96">IFERROR(((1/4)*D43+(3/4)*E43)/1000,"")</f>
        <v>6.7828749999999993E-2</v>
      </c>
      <c r="Q43" s="46">
        <f t="shared" ref="Q43:Q45" si="97">IFERROR(((1/4)*E43+(3/4)*F43)/1000,"")</f>
        <v>9.3634750000000017E-2</v>
      </c>
      <c r="R43" s="46">
        <f t="shared" ref="R43:R45" si="98">IFERROR(((1/4)*F43+(3/4)*G43)/1000,"")</f>
        <v>0.10564950000000002</v>
      </c>
      <c r="S43" s="46">
        <f t="shared" ref="S43:S45" si="99">IFERROR(((1/4)*G43+(3/4)*H43)/1000,"")</f>
        <v>8.16915E-2</v>
      </c>
      <c r="T43" s="46">
        <f t="shared" ref="T43:T45" si="100">IFERROR(((1/4)*H43+(3/4)*I43)/1000,"")</f>
        <v>3.646775E-2</v>
      </c>
      <c r="U43" s="46">
        <f t="shared" ref="U43:U45" si="101">IFERROR(((1/4)*I43+(3/4)*J43)/1000,"")</f>
        <v>4.2933000000000006E-2</v>
      </c>
      <c r="V43" s="46">
        <f t="shared" ref="V43:V45" si="102">IFERROR(((1/4)*J43+(3/4)*K43)/1000,"")</f>
        <v>6.7064250000000006E-2</v>
      </c>
      <c r="W43" s="46">
        <f t="shared" ref="W43:W45" si="103">IFERROR(((1/4)*K43+(3/4)*L43)/1000,"")</f>
        <v>7.6815750000000002E-2</v>
      </c>
      <c r="X43" s="46">
        <f t="shared" ref="X43:X45" si="104">IFERROR(((1/4)*L43+(3/4)*M43)/1000,"")</f>
        <v>8.4513000000000005E-2</v>
      </c>
      <c r="Y43" s="46">
        <f t="shared" ref="Y43:Y45" si="105">IFERROR(((1/4)*M43+(3/4)*N43)/1000,"")</f>
        <v>9.3588000000000005E-2</v>
      </c>
      <c r="Z43" s="46">
        <f t="shared" ref="Z43:Z45" si="106">IFERROR(((1/4)*N43+(3/4)*O43)/1000,"")</f>
        <v>9.2837250000000024E-2</v>
      </c>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row>
    <row r="44" spans="1:59" x14ac:dyDescent="0.25">
      <c r="A44" s="204"/>
      <c r="B44" s="56" t="s">
        <v>126</v>
      </c>
      <c r="C44" s="44" t="s">
        <v>127</v>
      </c>
      <c r="D44" s="57">
        <f>IFERROR(VLOOKUP($B44,'7'!$A$5:$M$31,2,FALSE)/10^3,"")</f>
        <v>79.720600000000005</v>
      </c>
      <c r="E44" s="57">
        <f>IFERROR(VLOOKUP($B44,'7'!$A$5:$M$31,3,FALSE)/10^3,"")</f>
        <v>83.501649999999998</v>
      </c>
      <c r="F44" s="57">
        <f>IFERROR(VLOOKUP($B44,'7'!$A$5:$M$31,4,FALSE)/10^3,"")</f>
        <v>87.144199999999998</v>
      </c>
      <c r="G44" s="57">
        <f>IFERROR(VLOOKUP($B44,'7'!$A$5:$M$31,5,FALSE)/10^3,"")</f>
        <v>81.922749999999994</v>
      </c>
      <c r="H44" s="57">
        <f>IFERROR(VLOOKUP($B44,'7'!$A$5:$M$31,6,FALSE)/10^3,"")</f>
        <v>73.7928</v>
      </c>
      <c r="I44" s="57">
        <f>IFERROR(VLOOKUP($B44,'7'!$A$5:$M$31,7,FALSE)/10^3,"")</f>
        <v>84.928200000000004</v>
      </c>
      <c r="J44" s="57">
        <f>IFERROR(VLOOKUP($B44,'7'!$A$5:$M$31,8,FALSE)/10^3,"")</f>
        <v>88.667699999999996</v>
      </c>
      <c r="K44" s="57">
        <f>IFERROR(VLOOKUP($B44,'7'!$A$5:$M$31,9,FALSE)/10^3,"")</f>
        <v>72.213899999999995</v>
      </c>
      <c r="L44" s="57">
        <f>IFERROR(VLOOKUP($B44,'7'!$A$5:$M$31,10,FALSE)/10^3,"")</f>
        <v>69.443900000000014</v>
      </c>
      <c r="M44" s="57">
        <f>IFERROR(VLOOKUP($B44,'7'!$A$5:$M$31,11,FALSE)/10^3,"")</f>
        <v>73.100300000000004</v>
      </c>
      <c r="N44" s="57">
        <f>IFERROR(VLOOKUP($B44,'7'!$A$5:$M$31,12,FALSE)/10^3,"")</f>
        <v>66.313800000000001</v>
      </c>
      <c r="O44" s="57">
        <f>IFERROR(VLOOKUP($B44,'7'!$A$5:$M$31,13,FALSE)/10^3,"")</f>
        <v>81.479549999999989</v>
      </c>
      <c r="P44" s="46">
        <f t="shared" si="96"/>
        <v>8.2556387499999995E-2</v>
      </c>
      <c r="Q44" s="46">
        <f t="shared" si="97"/>
        <v>8.6233562499999986E-2</v>
      </c>
      <c r="R44" s="46">
        <f t="shared" si="98"/>
        <v>8.3228112499999993E-2</v>
      </c>
      <c r="S44" s="46">
        <f t="shared" si="99"/>
        <v>7.5825287500000005E-2</v>
      </c>
      <c r="T44" s="46">
        <f t="shared" si="100"/>
        <v>8.2144350000000005E-2</v>
      </c>
      <c r="U44" s="46">
        <f t="shared" si="101"/>
        <v>8.7732825E-2</v>
      </c>
      <c r="V44" s="46">
        <f t="shared" si="102"/>
        <v>7.6327350000000002E-2</v>
      </c>
      <c r="W44" s="46">
        <f t="shared" si="103"/>
        <v>7.0136400000000015E-2</v>
      </c>
      <c r="X44" s="46">
        <f t="shared" si="104"/>
        <v>7.218620000000002E-2</v>
      </c>
      <c r="Y44" s="46">
        <f t="shared" si="105"/>
        <v>6.8010424999999999E-2</v>
      </c>
      <c r="Z44" s="46">
        <f t="shared" si="106"/>
        <v>7.7688112499999989E-2</v>
      </c>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row>
    <row r="45" spans="1:59" x14ac:dyDescent="0.25">
      <c r="A45" s="204"/>
      <c r="B45" s="56" t="s">
        <v>128</v>
      </c>
      <c r="C45" s="44" t="s">
        <v>129</v>
      </c>
      <c r="D45" s="57">
        <f>IFERROR(VLOOKUP($B45,'7'!$A$5:$M$31,2,FALSE)/10^3,"")</f>
        <v>315.63911999999999</v>
      </c>
      <c r="E45" s="57">
        <f>IFERROR(VLOOKUP($B45,'7'!$A$5:$M$31,3,FALSE)/10^3,"")</f>
        <v>317.15712000000008</v>
      </c>
      <c r="F45" s="57">
        <f>IFERROR(VLOOKUP($B45,'7'!$A$5:$M$31,4,FALSE)/10^3,"")</f>
        <v>286.77228000000002</v>
      </c>
      <c r="G45" s="57">
        <f>IFERROR(VLOOKUP($B45,'7'!$A$5:$M$31,5,FALSE)/10^3,"")</f>
        <v>276.76038</v>
      </c>
      <c r="H45" s="57">
        <f>IFERROR(VLOOKUP($B45,'7'!$A$5:$M$31,6,FALSE)/10^3,"")</f>
        <v>274.48889999999994</v>
      </c>
      <c r="I45" s="57">
        <f>IFERROR(VLOOKUP($B45,'7'!$A$5:$M$31,7,FALSE)/10^3,"")</f>
        <v>284.05091999999996</v>
      </c>
      <c r="J45" s="57">
        <f>IFERROR(VLOOKUP($B45,'7'!$A$5:$M$31,8,FALSE)/10^3,"")</f>
        <v>317.22888</v>
      </c>
      <c r="K45" s="57">
        <f>IFERROR(VLOOKUP($B45,'7'!$A$5:$M$31,9,FALSE)/10^3,"")</f>
        <v>332.69316000000003</v>
      </c>
      <c r="L45" s="57">
        <f>IFERROR(VLOOKUP($B45,'7'!$A$5:$M$31,10,FALSE)/10^3,"")</f>
        <v>336.41502000000003</v>
      </c>
      <c r="M45" s="57">
        <f>IFERROR(VLOOKUP($B45,'7'!$A$5:$M$31,11,FALSE)/10^3,"")</f>
        <v>330.11946000000006</v>
      </c>
      <c r="N45" s="57">
        <f>IFERROR(VLOOKUP($B45,'7'!$A$5:$M$31,12,FALSE)/10^3,"")</f>
        <v>339.75599999999997</v>
      </c>
      <c r="O45" s="57">
        <f>IFERROR(VLOOKUP($B45,'7'!$A$5:$M$31,13,FALSE)/10^3,"")</f>
        <v>356.45537999999999</v>
      </c>
      <c r="P45" s="46">
        <f t="shared" si="96"/>
        <v>0.31677762000000009</v>
      </c>
      <c r="Q45" s="46">
        <f t="shared" si="97"/>
        <v>0.29436849000000004</v>
      </c>
      <c r="R45" s="46">
        <f t="shared" si="98"/>
        <v>0.27926335500000005</v>
      </c>
      <c r="S45" s="46">
        <f t="shared" si="99"/>
        <v>0.27505676999999995</v>
      </c>
      <c r="T45" s="46">
        <f t="shared" si="100"/>
        <v>0.28166041499999994</v>
      </c>
      <c r="U45" s="46">
        <f t="shared" si="101"/>
        <v>0.30893439</v>
      </c>
      <c r="V45" s="46">
        <f t="shared" si="102"/>
        <v>0.32882708999999999</v>
      </c>
      <c r="W45" s="46">
        <f t="shared" si="103"/>
        <v>0.33548455500000002</v>
      </c>
      <c r="X45" s="46">
        <f t="shared" si="104"/>
        <v>0.33169335</v>
      </c>
      <c r="Y45" s="46">
        <f t="shared" si="105"/>
        <v>0.337346865</v>
      </c>
      <c r="Z45" s="46">
        <f t="shared" si="106"/>
        <v>0.35228053500000001</v>
      </c>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row>
    <row r="46" spans="1:59" x14ac:dyDescent="0.25">
      <c r="A46" s="204"/>
      <c r="B46" s="56" t="s">
        <v>130</v>
      </c>
      <c r="C46" s="60" t="s">
        <v>131</v>
      </c>
      <c r="D46" s="61"/>
      <c r="E46" s="61"/>
      <c r="F46" s="61"/>
      <c r="G46" s="61"/>
      <c r="H46" s="61"/>
      <c r="I46" s="61"/>
      <c r="J46" s="61"/>
      <c r="K46" s="61"/>
      <c r="L46" s="61"/>
      <c r="M46" s="61"/>
      <c r="N46" s="61"/>
      <c r="O46" s="61"/>
      <c r="P46" s="46"/>
      <c r="Q46" s="46"/>
      <c r="R46" s="46"/>
      <c r="S46" s="46"/>
      <c r="T46" s="46"/>
      <c r="U46" s="46"/>
      <c r="V46" s="46"/>
      <c r="W46" s="46"/>
      <c r="X46" s="46"/>
      <c r="Y46" s="46"/>
      <c r="Z46" s="46"/>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x14ac:dyDescent="0.25">
      <c r="A47" s="204"/>
      <c r="B47" s="56" t="s">
        <v>132</v>
      </c>
      <c r="C47" s="44" t="s">
        <v>133</v>
      </c>
      <c r="D47" s="57">
        <f>IFERROR(VLOOKUP($B47,'7'!$A$5:$M$31,2,FALSE)/10^3,"")</f>
        <v>452.20659999999998</v>
      </c>
      <c r="E47" s="57">
        <f>IFERROR(VLOOKUP($B47,'7'!$A$5:$M$31,3,FALSE)/10^3,"")</f>
        <v>445.93427999999994</v>
      </c>
      <c r="F47" s="57">
        <f>IFERROR(VLOOKUP($B47,'7'!$A$5:$M$31,4,FALSE)/10^3,"")</f>
        <v>456.85319000000004</v>
      </c>
      <c r="G47" s="57">
        <f>IFERROR(VLOOKUP($B47,'7'!$A$5:$M$31,5,FALSE)/10^3,"")</f>
        <v>405.54469</v>
      </c>
      <c r="H47" s="57">
        <f>IFERROR(VLOOKUP($B47,'7'!$A$5:$M$31,6,FALSE)/10^3,"")</f>
        <v>273.39936</v>
      </c>
      <c r="I47" s="57">
        <f>IFERROR(VLOOKUP($B47,'7'!$A$5:$M$31,7,FALSE)/10^3,"")</f>
        <v>381.44698999999997</v>
      </c>
      <c r="J47" s="57">
        <f>IFERROR(VLOOKUP($B47,'7'!$A$5:$M$31,8,FALSE)/10^3,"")</f>
        <v>431.83308999999997</v>
      </c>
      <c r="K47" s="57">
        <f>IFERROR(VLOOKUP($B47,'7'!$A$5:$M$31,9,FALSE)/10^3,"")</f>
        <v>414.99928999999997</v>
      </c>
      <c r="L47" s="57">
        <f>IFERROR(VLOOKUP($B47,'7'!$A$5:$M$31,10,FALSE)/10^3,"")</f>
        <v>293.91122999999999</v>
      </c>
      <c r="M47" s="57">
        <f>IFERROR(VLOOKUP($B47,'7'!$A$5:$M$31,11,FALSE)/10^3,"")</f>
        <v>354.27078</v>
      </c>
      <c r="N47" s="57">
        <f>IFERROR(VLOOKUP($B47,'7'!$A$5:$M$31,12,FALSE)/10^3,"")</f>
        <v>241.93399000000002</v>
      </c>
      <c r="O47" s="57">
        <f>IFERROR(VLOOKUP($B47,'7'!$A$5:$M$31,13,FALSE)/10^3,"")</f>
        <v>187.50086000000002</v>
      </c>
      <c r="P47" s="46">
        <f t="shared" ref="P47" si="107">IFERROR(((1/4)*D47+(3/4)*E47)/1000,"")</f>
        <v>0.44750235999999993</v>
      </c>
      <c r="Q47" s="46">
        <f t="shared" ref="Q47" si="108">IFERROR(((1/4)*E47+(3/4)*F47)/1000,"")</f>
        <v>0.45412346250000002</v>
      </c>
      <c r="R47" s="46">
        <f t="shared" ref="R47" si="109">IFERROR(((1/4)*F47+(3/4)*G47)/1000,"")</f>
        <v>0.41837181500000004</v>
      </c>
      <c r="S47" s="46">
        <f t="shared" ref="S47" si="110">IFERROR(((1/4)*G47+(3/4)*H47)/1000,"")</f>
        <v>0.30643569250000002</v>
      </c>
      <c r="T47" s="46">
        <f t="shared" ref="T47" si="111">IFERROR(((1/4)*H47+(3/4)*I47)/1000,"")</f>
        <v>0.3544350825</v>
      </c>
      <c r="U47" s="46">
        <f t="shared" ref="U47" si="112">IFERROR(((1/4)*I47+(3/4)*J47)/1000,"")</f>
        <v>0.41923656499999995</v>
      </c>
      <c r="V47" s="46">
        <f t="shared" ref="V47" si="113">IFERROR(((1/4)*J47+(3/4)*K47)/1000,"")</f>
        <v>0.41920773999999994</v>
      </c>
      <c r="W47" s="46">
        <f t="shared" ref="W47" si="114">IFERROR(((1/4)*K47+(3/4)*L47)/1000,"")</f>
        <v>0.32418324500000001</v>
      </c>
      <c r="X47" s="46">
        <f t="shared" ref="X47" si="115">IFERROR(((1/4)*L47+(3/4)*M47)/1000,"")</f>
        <v>0.3391808925</v>
      </c>
      <c r="Y47" s="46">
        <f t="shared" ref="Y47" si="116">IFERROR(((1/4)*M47+(3/4)*N47)/1000,"")</f>
        <v>0.27001818750000001</v>
      </c>
      <c r="Z47" s="46">
        <f t="shared" ref="Z47" si="117">IFERROR(((1/4)*N47+(3/4)*O47)/1000,"")</f>
        <v>0.20110914250000003</v>
      </c>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x14ac:dyDescent="0.25">
      <c r="A48" s="204"/>
      <c r="B48" s="56" t="s">
        <v>134</v>
      </c>
      <c r="C48" s="44" t="s">
        <v>135</v>
      </c>
      <c r="D48" s="57">
        <f>IFERROR(VLOOKUP($B48,'7'!$A$5:$M$31,2,FALSE)/10^3,"")</f>
        <v>4742.4849999999997</v>
      </c>
      <c r="E48" s="57">
        <f>IFERROR(VLOOKUP($B48,'7'!$A$5:$M$31,3,FALSE)/10^3,"")</f>
        <v>4875.1670000000004</v>
      </c>
      <c r="F48" s="57">
        <f>IFERROR(VLOOKUP($B48,'7'!$A$5:$M$31,4,FALSE)/10^3,"")</f>
        <v>4810.6189999999997</v>
      </c>
      <c r="G48" s="57">
        <f>IFERROR(VLOOKUP($B48,'7'!$A$5:$M$31,5,FALSE)/10^3,"")</f>
        <v>5038.3300000000008</v>
      </c>
      <c r="H48" s="57">
        <f>IFERROR(VLOOKUP($B48,'7'!$A$5:$M$31,6,FALSE)/10^3,"")</f>
        <v>4731.7269999999999</v>
      </c>
      <c r="I48" s="57">
        <f>IFERROR(VLOOKUP($B48,'7'!$A$5:$M$31,7,FALSE)/10^3,"")</f>
        <v>4509.3950000000004</v>
      </c>
      <c r="J48" s="57">
        <f>IFERROR(VLOOKUP($B48,'7'!$A$5:$M$31,8,FALSE)/10^3,"")</f>
        <v>4778.3450000000003</v>
      </c>
      <c r="K48" s="57">
        <f>IFERROR(VLOOKUP($B48,'7'!$A$5:$M$31,9,FALSE)/10^3,"")</f>
        <v>5952.76</v>
      </c>
      <c r="L48" s="57">
        <f>IFERROR(VLOOKUP($B48,'7'!$A$5:$M$31,10,FALSE)/10^3,"")</f>
        <v>5943.7950000000001</v>
      </c>
      <c r="M48" s="57">
        <f>IFERROR(VLOOKUP($B48,'7'!$A$5:$M$31,11,FALSE)/10^3,"")</f>
        <v>5999.3779999999997</v>
      </c>
      <c r="N48" s="57">
        <f>IFERROR(VLOOKUP($B48,'7'!$A$5:$M$31,12,FALSE)/10^3,"")</f>
        <v>5723.2559999999994</v>
      </c>
      <c r="O48" s="57">
        <f>IFERROR(VLOOKUP($B48,'7'!$A$5:$M$31,13,FALSE)/10^3,"")</f>
        <v>6682.5110000000004</v>
      </c>
      <c r="P48" s="46">
        <f t="shared" ref="P48:P52" si="118">IFERROR(((1/4)*D48+(3/4)*E48)/1000,"")</f>
        <v>4.8419965000000005</v>
      </c>
      <c r="Q48" s="46">
        <f t="shared" ref="Q48:Q52" si="119">IFERROR(((1/4)*E48+(3/4)*F48)/1000,"")</f>
        <v>4.8267560000000005</v>
      </c>
      <c r="R48" s="46">
        <f t="shared" ref="R48:R52" si="120">IFERROR(((1/4)*F48+(3/4)*G48)/1000,"")</f>
        <v>4.9814022500000004</v>
      </c>
      <c r="S48" s="46">
        <f t="shared" ref="S48:S52" si="121">IFERROR(((1/4)*G48+(3/4)*H48)/1000,"")</f>
        <v>4.8083777500000009</v>
      </c>
      <c r="T48" s="46">
        <f t="shared" ref="T48:T52" si="122">IFERROR(((1/4)*H48+(3/4)*I48)/1000,"")</f>
        <v>4.564978</v>
      </c>
      <c r="U48" s="46">
        <f t="shared" ref="U48:U52" si="123">IFERROR(((1/4)*I48+(3/4)*J48)/1000,"")</f>
        <v>4.7111074999999998</v>
      </c>
      <c r="V48" s="46">
        <f t="shared" ref="V48:V52" si="124">IFERROR(((1/4)*J48+(3/4)*K48)/1000,"")</f>
        <v>5.6591562499999997</v>
      </c>
      <c r="W48" s="46">
        <f t="shared" ref="W48:W52" si="125">IFERROR(((1/4)*K48+(3/4)*L48)/1000,"")</f>
        <v>5.9460362500000006</v>
      </c>
      <c r="X48" s="46">
        <f t="shared" ref="X48:X52" si="126">IFERROR(((1/4)*L48+(3/4)*M48)/1000,"")</f>
        <v>5.9854822499999987</v>
      </c>
      <c r="Y48" s="46">
        <f t="shared" ref="Y48:Y52" si="127">IFERROR(((1/4)*M48+(3/4)*N48)/1000,"")</f>
        <v>5.7922864999999994</v>
      </c>
      <c r="Z48" s="46">
        <f t="shared" ref="Z48:Z52" si="128">IFERROR(((1/4)*N48+(3/4)*O48)/1000,"")</f>
        <v>6.442697250000001</v>
      </c>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1:59" x14ac:dyDescent="0.25">
      <c r="A49" s="204"/>
      <c r="B49" s="56" t="s">
        <v>136</v>
      </c>
      <c r="C49" s="44" t="s">
        <v>137</v>
      </c>
      <c r="D49" s="57">
        <f>IFERROR(VLOOKUP($B49,'7'!$A$5:$M$31,2,FALSE)/10^3,"")</f>
        <v>175.52799999999999</v>
      </c>
      <c r="E49" s="57">
        <f>IFERROR(VLOOKUP($B49,'7'!$A$5:$M$31,3,FALSE)/10^3,"")</f>
        <v>77.847999999999999</v>
      </c>
      <c r="F49" s="57">
        <f>IFERROR(VLOOKUP($B49,'7'!$A$5:$M$31,4,FALSE)/10^3,"")</f>
        <v>65.12</v>
      </c>
      <c r="G49" s="57">
        <f>IFERROR(VLOOKUP($B49,'7'!$A$5:$M$31,5,FALSE)/10^3,"")</f>
        <v>79.031999999999996</v>
      </c>
      <c r="H49" s="57">
        <f>IFERROR(VLOOKUP($B49,'7'!$A$5:$M$31,6,FALSE)/10^3,"")</f>
        <v>81.992000000000004</v>
      </c>
      <c r="I49" s="57">
        <f>IFERROR(VLOOKUP($B49,'7'!$A$5:$M$31,7,FALSE)/10^3,"")</f>
        <v>131.72</v>
      </c>
      <c r="J49" s="57">
        <f>IFERROR(VLOOKUP($B49,'7'!$A$5:$M$31,8,FALSE)/10^3,"")</f>
        <v>134.38399999999999</v>
      </c>
      <c r="K49" s="57">
        <f>IFERROR(VLOOKUP($B49,'7'!$A$5:$M$31,9,FALSE)/10^3,"")</f>
        <v>128.76</v>
      </c>
      <c r="L49" s="57">
        <f>IFERROR(VLOOKUP($B49,'7'!$A$5:$M$31,10,FALSE)/10^3,"")</f>
        <v>93.536000000000001</v>
      </c>
      <c r="M49" s="57">
        <f>IFERROR(VLOOKUP($B49,'7'!$A$5:$M$31,11,FALSE)/10^3,"")</f>
        <v>82.287999999999997</v>
      </c>
      <c r="N49" s="57">
        <f>IFERROR(VLOOKUP($B49,'7'!$A$5:$M$31,12,FALSE)/10^3,"")</f>
        <v>455.89628000000005</v>
      </c>
      <c r="O49" s="57">
        <f>IFERROR(VLOOKUP($B49,'7'!$A$5:$M$31,13,FALSE)/10^3,"")</f>
        <v>491.30286000000001</v>
      </c>
      <c r="P49" s="46">
        <f t="shared" si="118"/>
        <v>0.102268</v>
      </c>
      <c r="Q49" s="46">
        <f t="shared" si="119"/>
        <v>6.8302000000000002E-2</v>
      </c>
      <c r="R49" s="46">
        <f t="shared" si="120"/>
        <v>7.5553999999999996E-2</v>
      </c>
      <c r="S49" s="46">
        <f t="shared" si="121"/>
        <v>8.1251999999999991E-2</v>
      </c>
      <c r="T49" s="46">
        <f t="shared" si="122"/>
        <v>0.11928799999999999</v>
      </c>
      <c r="U49" s="46">
        <f t="shared" si="123"/>
        <v>0.13371799999999998</v>
      </c>
      <c r="V49" s="46">
        <f t="shared" si="124"/>
        <v>0.130166</v>
      </c>
      <c r="W49" s="46">
        <f t="shared" si="125"/>
        <v>0.102342</v>
      </c>
      <c r="X49" s="46">
        <f t="shared" si="126"/>
        <v>8.5099999999999995E-2</v>
      </c>
      <c r="Y49" s="46">
        <f t="shared" si="127"/>
        <v>0.36249421000000004</v>
      </c>
      <c r="Z49" s="46">
        <f t="shared" si="128"/>
        <v>0.48245121500000004</v>
      </c>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1:59" x14ac:dyDescent="0.25">
      <c r="A50" s="204"/>
      <c r="B50" s="56" t="s">
        <v>138</v>
      </c>
      <c r="C50" s="44" t="s">
        <v>139</v>
      </c>
      <c r="D50" s="57">
        <f>IFERROR(VLOOKUP($B50,'7'!$A$5:$M$31,2,FALSE)/10^3,"")</f>
        <v>3037.7869999999998</v>
      </c>
      <c r="E50" s="57">
        <f>IFERROR(VLOOKUP($B50,'7'!$A$5:$M$31,3,FALSE)/10^3,"")</f>
        <v>3383.864</v>
      </c>
      <c r="F50" s="57">
        <f>IFERROR(VLOOKUP($B50,'7'!$A$5:$M$31,4,FALSE)/10^3,"")</f>
        <v>3691.4879999999998</v>
      </c>
      <c r="G50" s="57">
        <f>IFERROR(VLOOKUP($B50,'7'!$A$5:$M$31,5,FALSE)/10^3,"")</f>
        <v>4383.6419999999998</v>
      </c>
      <c r="H50" s="57">
        <f>IFERROR(VLOOKUP($B50,'7'!$A$5:$M$31,6,FALSE)/10^3,"")</f>
        <v>4499.0010000000002</v>
      </c>
      <c r="I50" s="57">
        <f>IFERROR(VLOOKUP($B50,'7'!$A$5:$M$31,7,FALSE)/10^3,"")</f>
        <v>5921.7619999999988</v>
      </c>
      <c r="J50" s="57">
        <f>IFERROR(VLOOKUP($B50,'7'!$A$5:$M$31,8,FALSE)/10^3,"")</f>
        <v>6306.2920000000013</v>
      </c>
      <c r="K50" s="57">
        <f>IFERROR(VLOOKUP($B50,'7'!$A$5:$M$31,9,FALSE)/10^3,"")</f>
        <v>6498.5569999999998</v>
      </c>
      <c r="L50" s="57">
        <f>IFERROR(VLOOKUP($B50,'7'!$A$5:$M$31,10,FALSE)/10^3,"")</f>
        <v>6613.9160000000002</v>
      </c>
      <c r="M50" s="57">
        <f>IFERROR(VLOOKUP($B50,'7'!$A$5:$M$31,11,FALSE)/10^3,"")</f>
        <v>7344.5229999999992</v>
      </c>
      <c r="N50" s="57">
        <f>IFERROR(VLOOKUP($B50,'7'!$A$5:$M$31,12,FALSE)/10^3,"")</f>
        <v>7113.8050000000003</v>
      </c>
      <c r="O50" s="57">
        <f>IFERROR(VLOOKUP($B50,'7'!$A$5:$M$31,13,FALSE)/10^3,"")</f>
        <v>7229.1639999999998</v>
      </c>
      <c r="P50" s="46">
        <f t="shared" si="118"/>
        <v>3.2973447500000002</v>
      </c>
      <c r="Q50" s="46">
        <f t="shared" si="119"/>
        <v>3.614582</v>
      </c>
      <c r="R50" s="46">
        <f t="shared" si="120"/>
        <v>4.2106035000000004</v>
      </c>
      <c r="S50" s="46">
        <f t="shared" si="121"/>
        <v>4.4701612500000003</v>
      </c>
      <c r="T50" s="46">
        <f t="shared" si="122"/>
        <v>5.566071749999999</v>
      </c>
      <c r="U50" s="46">
        <f t="shared" si="123"/>
        <v>6.2101595000000005</v>
      </c>
      <c r="V50" s="46">
        <f t="shared" si="124"/>
        <v>6.4504907500000002</v>
      </c>
      <c r="W50" s="46">
        <f t="shared" si="125"/>
        <v>6.5850762500000002</v>
      </c>
      <c r="X50" s="46">
        <f t="shared" si="126"/>
        <v>7.161871249999999</v>
      </c>
      <c r="Y50" s="46">
        <f t="shared" si="127"/>
        <v>7.1714845</v>
      </c>
      <c r="Z50" s="46">
        <f t="shared" si="128"/>
        <v>7.2003242499999995</v>
      </c>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1:59" x14ac:dyDescent="0.25">
      <c r="A51" s="204"/>
      <c r="B51" s="56" t="s">
        <v>140</v>
      </c>
      <c r="C51" s="44" t="s">
        <v>141</v>
      </c>
      <c r="D51" s="57">
        <f>IFERROR(VLOOKUP($B51,'7'!$A$5:$M$31,2,FALSE)/10^3,"")</f>
        <v>186.42</v>
      </c>
      <c r="E51" s="57">
        <f>IFERROR(VLOOKUP($B51,'7'!$A$5:$M$31,3,FALSE)/10^3,"")</f>
        <v>157.74</v>
      </c>
      <c r="F51" s="57">
        <f>IFERROR(VLOOKUP($B51,'7'!$A$5:$M$31,4,FALSE)/10^3,"")</f>
        <v>176.86</v>
      </c>
      <c r="G51" s="57">
        <f>IFERROR(VLOOKUP($B51,'7'!$A$5:$M$31,5,FALSE)/10^3,"")</f>
        <v>186.42</v>
      </c>
      <c r="H51" s="57">
        <f>IFERROR(VLOOKUP($B51,'7'!$A$5:$M$31,6,FALSE)/10^3,"")</f>
        <v>143.4</v>
      </c>
      <c r="I51" s="57">
        <f>IFERROR(VLOOKUP($B51,'7'!$A$5:$M$31,7,FALSE)/10^3,"")</f>
        <v>186.42</v>
      </c>
      <c r="J51" s="57">
        <f>IFERROR(VLOOKUP($B51,'7'!$A$5:$M$31,8,FALSE)/10^3,"")</f>
        <v>181.64</v>
      </c>
      <c r="K51" s="57">
        <f>IFERROR(VLOOKUP($B51,'7'!$A$5:$M$31,9,FALSE)/10^3,"")</f>
        <v>181.64</v>
      </c>
      <c r="L51" s="57">
        <f>IFERROR(VLOOKUP($B51,'7'!$A$5:$M$31,10,FALSE)/10^3,"")</f>
        <v>157.74</v>
      </c>
      <c r="M51" s="57">
        <f>IFERROR(VLOOKUP($B51,'7'!$A$5:$M$31,11,FALSE)/10^3,"")</f>
        <v>176.86</v>
      </c>
      <c r="N51" s="57">
        <f>IFERROR(VLOOKUP($B51,'7'!$A$5:$M$31,12,FALSE)/10^3,"")</f>
        <v>162.52000000000001</v>
      </c>
      <c r="O51" s="57">
        <f>IFERROR(VLOOKUP($B51,'7'!$A$5:$M$31,13,FALSE)/10^3,"")</f>
        <v>9.56</v>
      </c>
      <c r="P51" s="46">
        <f t="shared" si="118"/>
        <v>0.16491</v>
      </c>
      <c r="Q51" s="46">
        <f t="shared" si="119"/>
        <v>0.17208000000000001</v>
      </c>
      <c r="R51" s="46">
        <f t="shared" si="120"/>
        <v>0.18403</v>
      </c>
      <c r="S51" s="46">
        <f t="shared" si="121"/>
        <v>0.15415500000000001</v>
      </c>
      <c r="T51" s="46">
        <f t="shared" si="122"/>
        <v>0.17566499999999999</v>
      </c>
      <c r="U51" s="46">
        <f t="shared" si="123"/>
        <v>0.18283499999999997</v>
      </c>
      <c r="V51" s="46">
        <f t="shared" si="124"/>
        <v>0.18164</v>
      </c>
      <c r="W51" s="46">
        <f t="shared" si="125"/>
        <v>0.163715</v>
      </c>
      <c r="X51" s="46">
        <f t="shared" si="126"/>
        <v>0.17208000000000001</v>
      </c>
      <c r="Y51" s="46">
        <f t="shared" si="127"/>
        <v>0.16610500000000003</v>
      </c>
      <c r="Z51" s="46">
        <f t="shared" si="128"/>
        <v>4.7800000000000002E-2</v>
      </c>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1:59" x14ac:dyDescent="0.25">
      <c r="A52" s="204"/>
      <c r="B52" s="56" t="s">
        <v>142</v>
      </c>
      <c r="C52" s="44" t="s">
        <v>143</v>
      </c>
      <c r="D52" s="57">
        <f>IFERROR(VLOOKUP($B52,'7'!$A$5:$M$31,2,FALSE)/10^3,"")</f>
        <v>1478.9929422399998</v>
      </c>
      <c r="E52" s="57">
        <f>IFERROR(VLOOKUP($B52,'7'!$A$5:$M$31,3,FALSE)/10^3,"")</f>
        <v>1532.6814024</v>
      </c>
      <c r="F52" s="57">
        <f>IFERROR(VLOOKUP($B52,'7'!$A$5:$M$31,4,FALSE)/10^3,"")</f>
        <v>1638.85576328</v>
      </c>
      <c r="G52" s="57">
        <f>IFERROR(VLOOKUP($B52,'7'!$A$5:$M$31,5,FALSE)/10^3,"")</f>
        <v>1656.2734790400002</v>
      </c>
      <c r="H52" s="57">
        <f>IFERROR(VLOOKUP($B52,'7'!$A$5:$M$31,6,FALSE)/10^3,"")</f>
        <v>1440.7437935999999</v>
      </c>
      <c r="I52" s="57">
        <f>IFERROR(VLOOKUP($B52,'7'!$A$5:$M$31,7,FALSE)/10^3,"")</f>
        <v>1627.0629223199999</v>
      </c>
      <c r="J52" s="57">
        <f>IFERROR(VLOOKUP($B52,'7'!$A$5:$M$31,8,FALSE)/10^3,"")</f>
        <v>1755.4672000000003</v>
      </c>
      <c r="K52" s="57">
        <f>IFERROR(VLOOKUP($B52,'7'!$A$5:$M$31,9,FALSE)/10^3,"")</f>
        <v>1736.9596000000004</v>
      </c>
      <c r="L52" s="57">
        <f>IFERROR(VLOOKUP($B52,'7'!$A$5:$M$31,10,FALSE)/10^3,"")</f>
        <v>1567.5976000000001</v>
      </c>
      <c r="M52" s="57">
        <f>IFERROR(VLOOKUP($B52,'7'!$A$5:$M$31,11,FALSE)/10^3,"")</f>
        <v>1576.8708000000004</v>
      </c>
      <c r="N52" s="57">
        <f>IFERROR(VLOOKUP($B52,'7'!$A$5:$M$31,12,FALSE)/10^3,"")</f>
        <v>1724.078</v>
      </c>
      <c r="O52" s="57">
        <f>IFERROR(VLOOKUP($B52,'7'!$A$5:$M$31,13,FALSE)/10^3,"")</f>
        <v>1821.8927999999999</v>
      </c>
      <c r="P52" s="46">
        <f t="shared" si="118"/>
        <v>1.5192592873600002</v>
      </c>
      <c r="Q52" s="46">
        <f t="shared" si="119"/>
        <v>1.6123121730600001</v>
      </c>
      <c r="R52" s="46">
        <f t="shared" si="120"/>
        <v>1.6519190501000003</v>
      </c>
      <c r="S52" s="46">
        <f t="shared" si="121"/>
        <v>1.49462621496</v>
      </c>
      <c r="T52" s="46">
        <f t="shared" si="122"/>
        <v>1.5804831401399999</v>
      </c>
      <c r="U52" s="46">
        <f t="shared" si="123"/>
        <v>1.7233661305800001</v>
      </c>
      <c r="V52" s="46">
        <f t="shared" si="124"/>
        <v>1.7415865000000004</v>
      </c>
      <c r="W52" s="46">
        <f t="shared" si="125"/>
        <v>1.6099381000000001</v>
      </c>
      <c r="X52" s="46">
        <f t="shared" si="126"/>
        <v>1.5745525000000002</v>
      </c>
      <c r="Y52" s="46">
        <f t="shared" si="127"/>
        <v>1.6872762000000003</v>
      </c>
      <c r="Z52" s="46">
        <f t="shared" si="128"/>
        <v>1.7974391000000001</v>
      </c>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1:59" x14ac:dyDescent="0.25">
      <c r="A53" s="204"/>
      <c r="B53" s="56" t="s">
        <v>144</v>
      </c>
      <c r="C53" s="60" t="s">
        <v>145</v>
      </c>
      <c r="D53" s="201" t="s">
        <v>50</v>
      </c>
      <c r="E53" s="201"/>
      <c r="F53" s="201"/>
      <c r="G53" s="201"/>
      <c r="H53" s="201"/>
      <c r="I53" s="201"/>
      <c r="J53" s="201"/>
      <c r="K53" s="201"/>
      <c r="L53" s="201"/>
      <c r="M53" s="201"/>
      <c r="N53" s="201"/>
      <c r="O53" s="201"/>
      <c r="P53" s="201"/>
      <c r="Q53" s="201"/>
      <c r="R53" s="201"/>
      <c r="S53" s="201"/>
      <c r="T53" s="201"/>
      <c r="U53" s="201"/>
      <c r="V53" s="201"/>
      <c r="W53" s="201"/>
      <c r="X53" s="201"/>
      <c r="Y53" s="201"/>
      <c r="Z53" s="201"/>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1:59" x14ac:dyDescent="0.25">
      <c r="A54" s="204"/>
      <c r="B54" s="56" t="s">
        <v>146</v>
      </c>
      <c r="C54" s="44" t="s">
        <v>147</v>
      </c>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1:59" x14ac:dyDescent="0.25">
      <c r="A55" s="204"/>
      <c r="B55" s="56" t="s">
        <v>148</v>
      </c>
      <c r="C55" s="44" t="s">
        <v>149</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1:59" x14ac:dyDescent="0.25">
      <c r="A56" s="204"/>
      <c r="B56" s="56" t="s">
        <v>150</v>
      </c>
      <c r="C56" s="44" t="s">
        <v>111</v>
      </c>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1:59" x14ac:dyDescent="0.25">
      <c r="A57" s="204"/>
      <c r="B57" s="55" t="s">
        <v>151</v>
      </c>
      <c r="C57" s="40" t="s">
        <v>152</v>
      </c>
      <c r="D57" s="41">
        <f t="shared" ref="D57:X57" si="129">SUM(D58:D64)</f>
        <v>7553.246198659428</v>
      </c>
      <c r="E57" s="41">
        <f t="shared" si="129"/>
        <v>9494.9623809799068</v>
      </c>
      <c r="F57" s="41">
        <f t="shared" si="129"/>
        <v>10019.324053441251</v>
      </c>
      <c r="G57" s="41">
        <f t="shared" si="129"/>
        <v>10108.390335372447</v>
      </c>
      <c r="H57" s="41">
        <f t="shared" si="129"/>
        <v>12044.585277664291</v>
      </c>
      <c r="I57" s="41">
        <f t="shared" si="129"/>
        <v>11781.466270097555</v>
      </c>
      <c r="J57" s="41">
        <f t="shared" si="129"/>
        <v>12616.882154156574</v>
      </c>
      <c r="K57" s="41">
        <f t="shared" si="129"/>
        <v>22058.677129633372</v>
      </c>
      <c r="L57" s="41">
        <f t="shared" si="129"/>
        <v>18880.399207775576</v>
      </c>
      <c r="M57" s="41">
        <f t="shared" si="129"/>
        <v>12582.89378398046</v>
      </c>
      <c r="N57" s="41">
        <f t="shared" si="129"/>
        <v>14572.892635699038</v>
      </c>
      <c r="O57" s="41">
        <f t="shared" si="129"/>
        <v>16222.001167322216</v>
      </c>
      <c r="P57" s="41">
        <f t="shared" si="129"/>
        <v>9.0095333353997873</v>
      </c>
      <c r="Q57" s="41">
        <f t="shared" si="129"/>
        <v>9.8882336353259159</v>
      </c>
      <c r="R57" s="42">
        <f t="shared" si="129"/>
        <v>10.086123764889649</v>
      </c>
      <c r="S57" s="42">
        <f t="shared" si="129"/>
        <v>11.560536542091331</v>
      </c>
      <c r="T57" s="42">
        <f t="shared" si="129"/>
        <v>11.847246021989237</v>
      </c>
      <c r="U57" s="42">
        <f t="shared" si="129"/>
        <v>12.40802818314182</v>
      </c>
      <c r="V57" s="42">
        <f t="shared" si="129"/>
        <v>19.698228385764171</v>
      </c>
      <c r="W57" s="42">
        <f t="shared" si="129"/>
        <v>19.674968688240025</v>
      </c>
      <c r="X57" s="42">
        <f t="shared" si="129"/>
        <v>14.157270139929242</v>
      </c>
      <c r="Y57" s="42">
        <f t="shared" ref="Y57:Z57" si="130">SUM(Y58:Y64)</f>
        <v>14.075392922769392</v>
      </c>
      <c r="Z57" s="42">
        <f t="shared" si="130"/>
        <v>15.809724034416419</v>
      </c>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1:59" x14ac:dyDescent="0.25">
      <c r="A58" s="204"/>
      <c r="B58" s="56" t="s">
        <v>153</v>
      </c>
      <c r="C58" s="44" t="s">
        <v>154</v>
      </c>
      <c r="D58" s="57">
        <f>IFERROR(VLOOKUP($B58,'7'!$A$5:$M$31,2,FALSE)/10^3,"")</f>
        <v>4017.7909286770819</v>
      </c>
      <c r="E58" s="57">
        <f>IFERROR(VLOOKUP($B58,'7'!$A$5:$M$31,3,FALSE)/10^3,"")</f>
        <v>5745.908201553345</v>
      </c>
      <c r="F58" s="57">
        <f>IFERROR(VLOOKUP($B58,'7'!$A$5:$M$31,4,FALSE)/10^3,"")</f>
        <v>5656.6279882721901</v>
      </c>
      <c r="G58" s="57">
        <f>IFERROR(VLOOKUP($B58,'7'!$A$5:$M$31,5,FALSE)/10^3,"")</f>
        <v>5448.2286385674479</v>
      </c>
      <c r="H58" s="57">
        <f>IFERROR(VLOOKUP($B58,'7'!$A$5:$M$31,6,FALSE)/10^3,"")</f>
        <v>6972.9644608802791</v>
      </c>
      <c r="I58" s="57">
        <f>IFERROR(VLOOKUP($B58,'7'!$A$5:$M$31,7,FALSE)/10^3,"")</f>
        <v>6170.6187970900537</v>
      </c>
      <c r="J58" s="57">
        <f>IFERROR(VLOOKUP($B58,'7'!$A$5:$M$31,8,FALSE)/10^3,"")</f>
        <v>6794.3338497574332</v>
      </c>
      <c r="K58" s="57">
        <f>IFERROR(VLOOKUP($B58,'7'!$A$5:$M$31,9,FALSE)/10^3,"")</f>
        <v>16084.343008278371</v>
      </c>
      <c r="L58" s="57">
        <f>IFERROR(VLOOKUP($B58,'7'!$A$5:$M$31,10,FALSE)/10^3,"")</f>
        <v>12726.724173522352</v>
      </c>
      <c r="M58" s="57">
        <f>IFERROR(VLOOKUP($B58,'7'!$A$5:$M$31,11,FALSE)/10^3,"")</f>
        <v>6447.4967251904609</v>
      </c>
      <c r="N58" s="57">
        <f>IFERROR(VLOOKUP($B58,'7'!$A$5:$M$31,12,FALSE)/10^3,"")</f>
        <v>7633.3247601746325</v>
      </c>
      <c r="O58" s="57">
        <f>IFERROR(VLOOKUP($B58,'7'!$A$5:$M$31,13,FALSE)/10^3,"")</f>
        <v>8595.3026915163991</v>
      </c>
      <c r="P58" s="46">
        <f t="shared" ref="P58" si="131">IFERROR(((1/4)*D58+(3/4)*E58)/1000,"")</f>
        <v>5.3138788833342785</v>
      </c>
      <c r="Q58" s="46">
        <f t="shared" ref="Q58" si="132">IFERROR(((1/4)*E58+(3/4)*F58)/1000,"")</f>
        <v>5.6789480415924789</v>
      </c>
      <c r="R58" s="46">
        <f t="shared" ref="R58" si="133">IFERROR(((1/4)*F58+(3/4)*G58)/1000,"")</f>
        <v>5.5003284759936335</v>
      </c>
      <c r="S58" s="46">
        <f t="shared" ref="S58" si="134">IFERROR(((1/4)*G58+(3/4)*H58)/1000,"")</f>
        <v>6.5917805053020722</v>
      </c>
      <c r="T58" s="46">
        <f t="shared" ref="T58" si="135">IFERROR(((1/4)*H58+(3/4)*I58)/1000,"")</f>
        <v>6.3712052130376104</v>
      </c>
      <c r="U58" s="46">
        <f t="shared" ref="U58" si="136">IFERROR(((1/4)*I58+(3/4)*J58)/1000,"")</f>
        <v>6.6384050865905886</v>
      </c>
      <c r="V58" s="46">
        <f t="shared" ref="V58" si="137">IFERROR(((1/4)*J58+(3/4)*K58)/1000,"")</f>
        <v>13.761840718648134</v>
      </c>
      <c r="W58" s="46">
        <f t="shared" ref="W58" si="138">IFERROR(((1/4)*K58+(3/4)*L58)/1000,"")</f>
        <v>13.566128882211357</v>
      </c>
      <c r="X58" s="46">
        <f t="shared" ref="X58" si="139">IFERROR(((1/4)*L58+(3/4)*M58)/1000,"")</f>
        <v>8.0173035872734353</v>
      </c>
      <c r="Y58" s="46">
        <f t="shared" ref="Y58" si="140">IFERROR(((1/4)*M58+(3/4)*N58)/1000,"")</f>
        <v>7.3368677514285894</v>
      </c>
      <c r="Z58" s="46">
        <f t="shared" ref="Z58" si="141">IFERROR(((1/4)*N58+(3/4)*O58)/1000,"")</f>
        <v>8.3548082086809572</v>
      </c>
      <c r="AA58" s="2">
        <f>Z58/(Z28+Z38+Z57+Z65)</f>
        <v>4.763973550713739E-2</v>
      </c>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1:59" s="10" customFormat="1" x14ac:dyDescent="0.25">
      <c r="A59" s="204"/>
      <c r="B59" s="56" t="s">
        <v>155</v>
      </c>
      <c r="C59" s="44" t="s">
        <v>156</v>
      </c>
      <c r="D59" s="57">
        <f>IFERROR(VLOOKUP($B59,'7'!$A$5:$M$31,2,FALSE)/10^3,"")</f>
        <v>0</v>
      </c>
      <c r="E59" s="57">
        <f>IFERROR(VLOOKUP($B59,'7'!$A$5:$M$31,3,FALSE)/10^3,"")</f>
        <v>0</v>
      </c>
      <c r="F59" s="57">
        <f>IFERROR(VLOOKUP($B59,'7'!$A$5:$M$31,4,FALSE)/10^3,"")</f>
        <v>0</v>
      </c>
      <c r="G59" s="57">
        <f>IFERROR(VLOOKUP($B59,'7'!$A$5:$M$31,5,FALSE)/10^3,"")</f>
        <v>0</v>
      </c>
      <c r="H59" s="57">
        <f>IFERROR(VLOOKUP($B59,'7'!$A$5:$M$31,6,FALSE)/10^3,"")</f>
        <v>0</v>
      </c>
      <c r="I59" s="57">
        <f>IFERROR(VLOOKUP($B59,'7'!$A$5:$M$31,7,FALSE)/10^3,"")</f>
        <v>0</v>
      </c>
      <c r="J59" s="57">
        <f>IFERROR(VLOOKUP($B59,'7'!$A$5:$M$31,8,FALSE)/10^3,"")</f>
        <v>0</v>
      </c>
      <c r="K59" s="57">
        <f>IFERROR(VLOOKUP($B59,'7'!$A$5:$M$31,9,FALSE)/10^3,"")</f>
        <v>0</v>
      </c>
      <c r="L59" s="57">
        <f>IFERROR(VLOOKUP($B59,'7'!$A$5:$M$31,10,FALSE)/10^3,"")</f>
        <v>0</v>
      </c>
      <c r="M59" s="57">
        <f>IFERROR(VLOOKUP($B59,'7'!$A$5:$M$31,11,FALSE)/10^3,"")</f>
        <v>0</v>
      </c>
      <c r="N59" s="57">
        <f>IFERROR(VLOOKUP($B59,'7'!$A$5:$M$31,12,FALSE)/10^3,"")</f>
        <v>0</v>
      </c>
      <c r="O59" s="57">
        <f>IFERROR(VLOOKUP($B59,'7'!$A$5:$M$31,13,FALSE)/10^3,"")</f>
        <v>0</v>
      </c>
      <c r="P59" s="46">
        <f t="shared" ref="P59:P64" si="142">IFERROR(((1/4)*D59+(3/4)*E59)/1000,"")</f>
        <v>0</v>
      </c>
      <c r="Q59" s="46">
        <f t="shared" ref="Q59:Q64" si="143">IFERROR(((1/4)*E59+(3/4)*F59)/1000,"")</f>
        <v>0</v>
      </c>
      <c r="R59" s="46">
        <f t="shared" ref="R59:R64" si="144">IFERROR(((1/4)*F59+(3/4)*G59)/1000,"")</f>
        <v>0</v>
      </c>
      <c r="S59" s="46">
        <f t="shared" ref="S59:S64" si="145">IFERROR(((1/4)*G59+(3/4)*H59)/1000,"")</f>
        <v>0</v>
      </c>
      <c r="T59" s="46">
        <f t="shared" ref="T59:T64" si="146">IFERROR(((1/4)*H59+(3/4)*I59)/1000,"")</f>
        <v>0</v>
      </c>
      <c r="U59" s="46">
        <f t="shared" ref="U59:U64" si="147">IFERROR(((1/4)*I59+(3/4)*J59)/1000,"")</f>
        <v>0</v>
      </c>
      <c r="V59" s="46">
        <f t="shared" ref="V59:V64" si="148">IFERROR(((1/4)*J59+(3/4)*K59)/1000,"")</f>
        <v>0</v>
      </c>
      <c r="W59" s="46">
        <f t="shared" ref="W59:W64" si="149">IFERROR(((1/4)*K59+(3/4)*L59)/1000,"")</f>
        <v>0</v>
      </c>
      <c r="X59" s="46">
        <f t="shared" ref="X59:X64" si="150">IFERROR(((1/4)*L59+(3/4)*M59)/1000,"")</f>
        <v>0</v>
      </c>
      <c r="Y59" s="46">
        <f t="shared" ref="Y59:Y64" si="151">IFERROR(((1/4)*M59+(3/4)*N59)/1000,"")</f>
        <v>0</v>
      </c>
      <c r="Z59" s="46">
        <f t="shared" ref="Z59:Z64" si="152">IFERROR(((1/4)*N59+(3/4)*O59)/1000,"")</f>
        <v>0</v>
      </c>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row>
    <row r="60" spans="1:59" s="10" customFormat="1" x14ac:dyDescent="0.25">
      <c r="A60" s="204"/>
      <c r="B60" s="56" t="s">
        <v>157</v>
      </c>
      <c r="C60" s="44" t="s">
        <v>158</v>
      </c>
      <c r="D60" s="57">
        <f>IFERROR(VLOOKUP($B60,'7'!$A$5:$M$31,2,FALSE)/10^3,"")</f>
        <v>1421.97</v>
      </c>
      <c r="E60" s="57">
        <f>IFERROR(VLOOKUP($B60,'7'!$A$5:$M$31,3,FALSE)/10^3,"")</f>
        <v>1481.8649999999998</v>
      </c>
      <c r="F60" s="57">
        <f>IFERROR(VLOOKUP($B60,'7'!$A$5:$M$31,4,FALSE)/10^3,"")</f>
        <v>1902.4499999999998</v>
      </c>
      <c r="G60" s="57">
        <f>IFERROR(VLOOKUP($B60,'7'!$A$5:$M$31,5,FALSE)/10^3,"")</f>
        <v>2041.0499999999997</v>
      </c>
      <c r="H60" s="57">
        <f>IFERROR(VLOOKUP($B60,'7'!$A$5:$M$31,6,FALSE)/10^3,"")</f>
        <v>2222.1391499999995</v>
      </c>
      <c r="I60" s="57">
        <f>IFERROR(VLOOKUP($B60,'7'!$A$5:$M$31,7,FALSE)/10^3,"")</f>
        <v>2547.6</v>
      </c>
      <c r="J60" s="57">
        <f>IFERROR(VLOOKUP($B60,'7'!$A$5:$M$31,8,FALSE)/10^3,"")</f>
        <v>2674.7044499999997</v>
      </c>
      <c r="K60" s="57">
        <f>IFERROR(VLOOKUP($B60,'7'!$A$5:$M$31,9,FALSE)/10^3,"")</f>
        <v>2729.3573999999994</v>
      </c>
      <c r="L60" s="57">
        <f>IFERROR(VLOOKUP($B60,'7'!$A$5:$M$31,10,FALSE)/10^3,"")</f>
        <v>2838.7045499999999</v>
      </c>
      <c r="M60" s="57">
        <f>IFERROR(VLOOKUP($B60,'7'!$A$5:$M$31,11,FALSE)/10^3,"")</f>
        <v>2751.0450000000001</v>
      </c>
      <c r="N60" s="57">
        <f>IFERROR(VLOOKUP($B60,'7'!$A$5:$M$31,12,FALSE)/10^3,"")</f>
        <v>3344.2249499999998</v>
      </c>
      <c r="O60" s="57">
        <f>IFERROR(VLOOKUP($B60,'7'!$A$5:$M$31,13,FALSE)/10^3,"")</f>
        <v>3885.6658499999994</v>
      </c>
      <c r="P60" s="46">
        <f t="shared" si="142"/>
        <v>1.46689125</v>
      </c>
      <c r="Q60" s="46">
        <f t="shared" si="143"/>
        <v>1.7973037499999998</v>
      </c>
      <c r="R60" s="46">
        <f t="shared" si="144"/>
        <v>2.0063999999999997</v>
      </c>
      <c r="S60" s="46">
        <f t="shared" si="145"/>
        <v>2.1768668624999994</v>
      </c>
      <c r="T60" s="46">
        <f t="shared" si="146"/>
        <v>2.4662347874999995</v>
      </c>
      <c r="U60" s="46">
        <f t="shared" si="147"/>
        <v>2.6429283374999999</v>
      </c>
      <c r="V60" s="46">
        <f t="shared" si="148"/>
        <v>2.7156941624999993</v>
      </c>
      <c r="W60" s="46">
        <f t="shared" si="149"/>
        <v>2.8113677624999998</v>
      </c>
      <c r="X60" s="46">
        <f t="shared" si="150"/>
        <v>2.7729598875000003</v>
      </c>
      <c r="Y60" s="46">
        <f t="shared" si="151"/>
        <v>3.1959299624999997</v>
      </c>
      <c r="Z60" s="46">
        <f t="shared" si="152"/>
        <v>3.7503056249999993</v>
      </c>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row>
    <row r="61" spans="1:59" x14ac:dyDescent="0.25">
      <c r="A61" s="204"/>
      <c r="B61" s="56" t="s">
        <v>159</v>
      </c>
      <c r="C61" s="44" t="s">
        <v>160</v>
      </c>
      <c r="D61" s="57">
        <v>0</v>
      </c>
      <c r="E61" s="57">
        <v>0</v>
      </c>
      <c r="F61" s="57">
        <v>0</v>
      </c>
      <c r="G61" s="57">
        <v>0</v>
      </c>
      <c r="H61" s="57">
        <v>0</v>
      </c>
      <c r="I61" s="57">
        <v>0</v>
      </c>
      <c r="J61" s="57">
        <v>0</v>
      </c>
      <c r="K61" s="57">
        <v>0</v>
      </c>
      <c r="L61" s="57">
        <v>0</v>
      </c>
      <c r="M61" s="57">
        <v>0</v>
      </c>
      <c r="N61" s="57">
        <v>0</v>
      </c>
      <c r="O61" s="57">
        <v>0</v>
      </c>
      <c r="P61" s="46">
        <f t="shared" si="142"/>
        <v>0</v>
      </c>
      <c r="Q61" s="46">
        <f t="shared" si="143"/>
        <v>0</v>
      </c>
      <c r="R61" s="46">
        <f t="shared" si="144"/>
        <v>0</v>
      </c>
      <c r="S61" s="46">
        <f t="shared" si="145"/>
        <v>0</v>
      </c>
      <c r="T61" s="46">
        <f t="shared" si="146"/>
        <v>0</v>
      </c>
      <c r="U61" s="46">
        <f t="shared" si="147"/>
        <v>0</v>
      </c>
      <c r="V61" s="46">
        <f t="shared" si="148"/>
        <v>0</v>
      </c>
      <c r="W61" s="46">
        <f t="shared" si="149"/>
        <v>0</v>
      </c>
      <c r="X61" s="46">
        <f t="shared" si="150"/>
        <v>0</v>
      </c>
      <c r="Y61" s="46">
        <f t="shared" si="151"/>
        <v>0</v>
      </c>
      <c r="Z61" s="46">
        <f t="shared" si="152"/>
        <v>0</v>
      </c>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1:59" x14ac:dyDescent="0.25">
      <c r="A62" s="204"/>
      <c r="B62" s="56" t="s">
        <v>161</v>
      </c>
      <c r="C62" s="44" t="s">
        <v>162</v>
      </c>
      <c r="D62" s="57">
        <f>IFERROR(VLOOKUP($B62,'7'!$A$5:$M$31,2,FALSE)/10^3,"")</f>
        <v>8.1416400000000007</v>
      </c>
      <c r="E62" s="57">
        <f>IFERROR(VLOOKUP($B62,'7'!$A$5:$M$31,3,FALSE)/10^3,"")</f>
        <v>12.384840000000001</v>
      </c>
      <c r="F62" s="57">
        <f>IFERROR(VLOOKUP($B62,'7'!$A$5:$M$31,4,FALSE)/10^3,"")</f>
        <v>23.206040000000002</v>
      </c>
      <c r="G62" s="57">
        <f>IFERROR(VLOOKUP($B62,'7'!$A$5:$M$31,5,FALSE)/10^3,"")</f>
        <v>30.287920000000003</v>
      </c>
      <c r="H62" s="57">
        <f>IFERROR(VLOOKUP($B62,'7'!$A$5:$M$31,6,FALSE)/10^3,"")</f>
        <v>31.367960000000004</v>
      </c>
      <c r="I62" s="57">
        <f>IFERROR(VLOOKUP($B62,'7'!$A$5:$M$31,7,FALSE)/10^3,"")</f>
        <v>33.445880000000002</v>
      </c>
      <c r="J62" s="57">
        <f>IFERROR(VLOOKUP($B62,'7'!$A$5:$M$31,8,FALSE)/10^3,"")</f>
        <v>29.79288</v>
      </c>
      <c r="K62" s="57">
        <f>IFERROR(VLOOKUP($B62,'7'!$A$5:$M$31,9,FALSE)/10^3,"")</f>
        <v>47.892000000000003</v>
      </c>
      <c r="L62" s="57">
        <f>IFERROR(VLOOKUP($B62,'7'!$A$5:$M$31,10,FALSE)/10^3,"")</f>
        <v>61.524840000000005</v>
      </c>
      <c r="M62" s="57">
        <f>IFERROR(VLOOKUP($B62,'7'!$A$5:$M$31,11,FALSE)/10^3,"")</f>
        <v>63.749400000000001</v>
      </c>
      <c r="N62" s="57">
        <f>IFERROR(VLOOKUP($B62,'7'!$A$5:$M$31,12,FALSE)/10^3,"")</f>
        <v>66.113839999999996</v>
      </c>
      <c r="O62" s="57">
        <f>IFERROR(VLOOKUP($B62,'7'!$A$5:$M$31,13,FALSE)/10^3,"")</f>
        <v>75.533640000000005</v>
      </c>
      <c r="P62" s="46">
        <f t="shared" si="142"/>
        <v>1.1324040000000002E-2</v>
      </c>
      <c r="Q62" s="46">
        <f t="shared" si="143"/>
        <v>2.050074E-2</v>
      </c>
      <c r="R62" s="46">
        <f t="shared" si="144"/>
        <v>2.8517450000000003E-2</v>
      </c>
      <c r="S62" s="46">
        <f t="shared" si="145"/>
        <v>3.1097949999999999E-2</v>
      </c>
      <c r="T62" s="46">
        <f t="shared" si="146"/>
        <v>3.2926400000000002E-2</v>
      </c>
      <c r="U62" s="46">
        <f t="shared" si="147"/>
        <v>3.0706130000000002E-2</v>
      </c>
      <c r="V62" s="46">
        <f t="shared" si="148"/>
        <v>4.3367220000000005E-2</v>
      </c>
      <c r="W62" s="46">
        <f t="shared" si="149"/>
        <v>5.8116630000000002E-2</v>
      </c>
      <c r="X62" s="46">
        <f t="shared" si="150"/>
        <v>6.3193260000000001E-2</v>
      </c>
      <c r="Y62" s="46">
        <f t="shared" si="151"/>
        <v>6.5522730000000001E-2</v>
      </c>
      <c r="Z62" s="46">
        <f t="shared" si="152"/>
        <v>7.3178690000000005E-2</v>
      </c>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1:59" x14ac:dyDescent="0.25">
      <c r="A63" s="204"/>
      <c r="B63" s="56" t="s">
        <v>163</v>
      </c>
      <c r="C63" s="44" t="s">
        <v>164</v>
      </c>
      <c r="D63" s="57">
        <f>IFERROR(VLOOKUP($B63,'7'!$A$5:$M$31,2,FALSE)/10^3,"")</f>
        <v>126.67000000000002</v>
      </c>
      <c r="E63" s="57">
        <f>IFERROR(VLOOKUP($B63,'7'!$A$5:$M$31,3,FALSE)/10^3,"")</f>
        <v>156.87999999999997</v>
      </c>
      <c r="F63" s="57">
        <f>IFERROR(VLOOKUP($B63,'7'!$A$5:$M$31,4,FALSE)/10^3,"")</f>
        <v>201.90085000000002</v>
      </c>
      <c r="G63" s="57">
        <f>IFERROR(VLOOKUP($B63,'7'!$A$5:$M$31,5,FALSE)/10^3,"")</f>
        <v>242.85978</v>
      </c>
      <c r="H63" s="57">
        <f>IFERROR(VLOOKUP($B63,'7'!$A$5:$M$31,6,FALSE)/10^3,"")</f>
        <v>308.54851000000002</v>
      </c>
      <c r="I63" s="57">
        <f>IFERROR(VLOOKUP($B63,'7'!$A$5:$M$31,7,FALSE)/10^3,"")</f>
        <v>325.29439000000002</v>
      </c>
      <c r="J63" s="57">
        <f>IFERROR(VLOOKUP($B63,'7'!$A$5:$M$31,8,FALSE)/10^3,"")</f>
        <v>392.41305999999997</v>
      </c>
      <c r="K63" s="57">
        <f>IFERROR(VLOOKUP($B63,'7'!$A$5:$M$31,9,FALSE)/10^3,"")</f>
        <v>415.33291000000003</v>
      </c>
      <c r="L63" s="57">
        <f>IFERROR(VLOOKUP($B63,'7'!$A$5:$M$31,10,FALSE)/10^3,"")</f>
        <v>373.24084000000005</v>
      </c>
      <c r="M63" s="57">
        <f>IFERROR(VLOOKUP($B63,'7'!$A$5:$M$31,11,FALSE)/10^3,"")</f>
        <v>406.26090000000005</v>
      </c>
      <c r="N63" s="57">
        <f>IFERROR(VLOOKUP($B63,'7'!$A$5:$M$31,12,FALSE)/10^3,"")</f>
        <v>388.37976000000003</v>
      </c>
      <c r="O63" s="57">
        <f>IFERROR(VLOOKUP($B63,'7'!$A$5:$M$31,13,FALSE)/10^3,"")</f>
        <v>402.24032</v>
      </c>
      <c r="P63" s="46">
        <f t="shared" si="142"/>
        <v>0.14932749999999997</v>
      </c>
      <c r="Q63" s="46">
        <f t="shared" si="143"/>
        <v>0.19064563750000002</v>
      </c>
      <c r="R63" s="46">
        <f t="shared" si="144"/>
        <v>0.23262004750000001</v>
      </c>
      <c r="S63" s="46">
        <f t="shared" si="145"/>
        <v>0.2921263275</v>
      </c>
      <c r="T63" s="46">
        <f t="shared" si="146"/>
        <v>0.32110792000000005</v>
      </c>
      <c r="U63" s="46">
        <f t="shared" si="147"/>
        <v>0.3756333925</v>
      </c>
      <c r="V63" s="46">
        <f t="shared" si="148"/>
        <v>0.40960294750000004</v>
      </c>
      <c r="W63" s="46">
        <f t="shared" si="149"/>
        <v>0.38376385750000008</v>
      </c>
      <c r="X63" s="46">
        <f t="shared" si="150"/>
        <v>0.39800588500000006</v>
      </c>
      <c r="Y63" s="46">
        <f t="shared" si="151"/>
        <v>0.39285004500000004</v>
      </c>
      <c r="Z63" s="46">
        <f t="shared" si="152"/>
        <v>0.39877518000000001</v>
      </c>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1:59" x14ac:dyDescent="0.25">
      <c r="A64" s="204"/>
      <c r="B64" s="56" t="s">
        <v>165</v>
      </c>
      <c r="C64" s="44" t="s">
        <v>111</v>
      </c>
      <c r="D64" s="57">
        <f>IFERROR(VLOOKUP($B64,'7'!$A$5:$M$31,2,FALSE)/10^3,"")</f>
        <v>1978.6736299823463</v>
      </c>
      <c r="E64" s="57">
        <f>IFERROR(VLOOKUP($B64,'7'!$A$5:$M$31,3,FALSE)/10^3,"")</f>
        <v>2097.9243394265623</v>
      </c>
      <c r="F64" s="57">
        <f>IFERROR(VLOOKUP($B64,'7'!$A$5:$M$31,4,FALSE)/10^3,"")</f>
        <v>2235.1391751690617</v>
      </c>
      <c r="G64" s="57">
        <f>IFERROR(VLOOKUP($B64,'7'!$A$5:$M$31,5,FALSE)/10^3,"")</f>
        <v>2345.9639968050001</v>
      </c>
      <c r="H64" s="57">
        <f>IFERROR(VLOOKUP($B64,'7'!$A$5:$M$31,6,FALSE)/10^3,"")</f>
        <v>2509.5651967840136</v>
      </c>
      <c r="I64" s="57">
        <f>IFERROR(VLOOKUP($B64,'7'!$A$5:$M$31,7,FALSE)/10^3,"")</f>
        <v>2704.5072030075003</v>
      </c>
      <c r="J64" s="57">
        <f>IFERROR(VLOOKUP($B64,'7'!$A$5:$M$31,8,FALSE)/10^3,"")</f>
        <v>2725.6379143991408</v>
      </c>
      <c r="K64" s="57">
        <f>IFERROR(VLOOKUP($B64,'7'!$A$5:$M$31,9,FALSE)/10^3,"")</f>
        <v>2781.751811355</v>
      </c>
      <c r="L64" s="57">
        <f>IFERROR(VLOOKUP($B64,'7'!$A$5:$M$31,10,FALSE)/10^3,"")</f>
        <v>2880.2048042532219</v>
      </c>
      <c r="M64" s="57">
        <f>IFERROR(VLOOKUP($B64,'7'!$A$5:$M$31,11,FALSE)/10^3,"")</f>
        <v>2914.3417587899989</v>
      </c>
      <c r="N64" s="57">
        <f>IFERROR(VLOOKUP($B64,'7'!$A$5:$M$31,12,FALSE)/10^3,"")</f>
        <v>3140.8493255244048</v>
      </c>
      <c r="O64" s="57">
        <f>IFERROR(VLOOKUP($B64,'7'!$A$5:$M$31,13,FALSE)/10^3,"")</f>
        <v>3263.2586658058167</v>
      </c>
      <c r="P64" s="46">
        <f t="shared" si="142"/>
        <v>2.0681116620655082</v>
      </c>
      <c r="Q64" s="46">
        <f t="shared" si="143"/>
        <v>2.2008354662334368</v>
      </c>
      <c r="R64" s="46">
        <f t="shared" si="144"/>
        <v>2.3182577913960158</v>
      </c>
      <c r="S64" s="46">
        <f t="shared" si="145"/>
        <v>2.4686648967892602</v>
      </c>
      <c r="T64" s="46">
        <f t="shared" si="146"/>
        <v>2.6557717014516284</v>
      </c>
      <c r="U64" s="46">
        <f t="shared" si="147"/>
        <v>2.7203552365512307</v>
      </c>
      <c r="V64" s="46">
        <f t="shared" si="148"/>
        <v>2.7677233371160357</v>
      </c>
      <c r="W64" s="46">
        <f t="shared" si="149"/>
        <v>2.8555915560286662</v>
      </c>
      <c r="X64" s="46">
        <f t="shared" si="150"/>
        <v>2.9058075201558049</v>
      </c>
      <c r="Y64" s="46">
        <f t="shared" si="151"/>
        <v>3.0842224338408033</v>
      </c>
      <c r="Z64" s="46">
        <f t="shared" si="152"/>
        <v>3.2326563307354634</v>
      </c>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1:59" x14ac:dyDescent="0.25">
      <c r="A65" s="204"/>
      <c r="B65" s="55" t="s">
        <v>166</v>
      </c>
      <c r="C65" s="40" t="s">
        <v>167</v>
      </c>
      <c r="D65" s="41">
        <f t="shared" ref="D65:X65" si="153">SUM(D66:D69)</f>
        <v>810.10606744095082</v>
      </c>
      <c r="E65" s="41">
        <f t="shared" si="153"/>
        <v>1405.3430437723971</v>
      </c>
      <c r="F65" s="41">
        <f t="shared" si="153"/>
        <v>1024.1708779611345</v>
      </c>
      <c r="G65" s="41">
        <f t="shared" si="153"/>
        <v>1378.1184843572739</v>
      </c>
      <c r="H65" s="41">
        <f t="shared" si="153"/>
        <v>723.04919119898841</v>
      </c>
      <c r="I65" s="41">
        <f t="shared" si="153"/>
        <v>948.06073977453775</v>
      </c>
      <c r="J65" s="41">
        <f t="shared" si="153"/>
        <v>2233.0902619745116</v>
      </c>
      <c r="K65" s="41">
        <f t="shared" si="153"/>
        <v>2443.7256857105044</v>
      </c>
      <c r="L65" s="41">
        <f t="shared" si="153"/>
        <v>2291.6222777251901</v>
      </c>
      <c r="M65" s="41">
        <f t="shared" si="153"/>
        <v>1845.7809622632565</v>
      </c>
      <c r="N65" s="41">
        <f t="shared" si="153"/>
        <v>4328.5723821335505</v>
      </c>
      <c r="O65" s="41">
        <f t="shared" si="153"/>
        <v>2051.6418685549424</v>
      </c>
      <c r="P65" s="41">
        <f t="shared" si="153"/>
        <v>1.2565337996895354</v>
      </c>
      <c r="Q65" s="41">
        <f t="shared" si="153"/>
        <v>1.1194639194139502</v>
      </c>
      <c r="R65" s="42">
        <f t="shared" si="153"/>
        <v>1.2896315827582394</v>
      </c>
      <c r="S65" s="42">
        <f t="shared" si="153"/>
        <v>0.88681651448855991</v>
      </c>
      <c r="T65" s="42">
        <f t="shared" si="153"/>
        <v>0.89180785263065043</v>
      </c>
      <c r="U65" s="42">
        <f t="shared" si="153"/>
        <v>1.9118328814245182</v>
      </c>
      <c r="V65" s="42">
        <f t="shared" si="153"/>
        <v>2.3910668297765065</v>
      </c>
      <c r="W65" s="42">
        <f t="shared" si="153"/>
        <v>2.3296481297215186</v>
      </c>
      <c r="X65" s="42">
        <f t="shared" si="153"/>
        <v>1.9572412911287398</v>
      </c>
      <c r="Y65" s="42">
        <f t="shared" ref="Y65:Z65" si="154">SUM(Y66:Y69)</f>
        <v>3.707874527165977</v>
      </c>
      <c r="Z65" s="42">
        <f t="shared" si="154"/>
        <v>2.6208744969495945</v>
      </c>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1:59" x14ac:dyDescent="0.25">
      <c r="A66" s="204"/>
      <c r="B66" s="56" t="s">
        <v>168</v>
      </c>
      <c r="C66" s="44" t="s">
        <v>169</v>
      </c>
      <c r="D66" s="57">
        <f>IFERROR(VLOOKUP($B66,'7'!$A$5:$M$31,2,FALSE)/10^3,"")</f>
        <v>605.9789643533021</v>
      </c>
      <c r="E66" s="57">
        <f>IFERROR(VLOOKUP($B66,'7'!$A$5:$M$31,3,FALSE)/10^3,"")</f>
        <v>1327.5797604677878</v>
      </c>
      <c r="F66" s="57">
        <f>IFERROR(VLOOKUP($B66,'7'!$A$5:$M$31,4,FALSE)/10^3,"")</f>
        <v>690.68170405884644</v>
      </c>
      <c r="G66" s="57">
        <f>IFERROR(VLOOKUP($B66,'7'!$A$5:$M$31,5,FALSE)/10^3,"")</f>
        <v>1348.4236579211567</v>
      </c>
      <c r="H66" s="57">
        <f>IFERROR(VLOOKUP($B66,'7'!$A$5:$M$31,6,FALSE)/10^3,"")</f>
        <v>512.50099519539117</v>
      </c>
      <c r="I66" s="57">
        <f>IFERROR(VLOOKUP($B66,'7'!$A$5:$M$31,7,FALSE)/10^3,"")</f>
        <v>485.14813634559096</v>
      </c>
      <c r="J66" s="57">
        <f>IFERROR(VLOOKUP($B66,'7'!$A$5:$M$31,8,FALSE)/10^3,"")</f>
        <v>1871.4364456964042</v>
      </c>
      <c r="K66" s="57">
        <f>IFERROR(VLOOKUP($B66,'7'!$A$5:$M$31,9,FALSE)/10^3,"")</f>
        <v>1727.5172239391877</v>
      </c>
      <c r="L66" s="57">
        <f>IFERROR(VLOOKUP($B66,'7'!$A$5:$M$31,10,FALSE)/10^3,"")</f>
        <v>1841.7457486513556</v>
      </c>
      <c r="M66" s="57">
        <f>IFERROR(VLOOKUP($B66,'7'!$A$5:$M$31,11,FALSE)/10^3,"")</f>
        <v>1503.7190618882366</v>
      </c>
      <c r="N66" s="57">
        <f>IFERROR(VLOOKUP($B66,'7'!$A$5:$M$31,12,FALSE)/10^3,"")</f>
        <v>3835.3149427256044</v>
      </c>
      <c r="O66" s="57">
        <f>IFERROR(VLOOKUP($B66,'7'!$A$5:$M$31,13,FALSE)/10^3,"")</f>
        <v>1754.653178690605</v>
      </c>
      <c r="P66" s="46">
        <f t="shared" ref="P66" si="155">IFERROR(((1/4)*D66+(3/4)*E66)/1000,"")</f>
        <v>1.1471795614391662</v>
      </c>
      <c r="Q66" s="46">
        <f t="shared" ref="Q66" si="156">IFERROR(((1/4)*E66+(3/4)*F66)/1000,"")</f>
        <v>0.84990621816108169</v>
      </c>
      <c r="R66" s="46">
        <f t="shared" ref="R66" si="157">IFERROR(((1/4)*F66+(3/4)*G66)/1000,"")</f>
        <v>1.1839881694555794</v>
      </c>
      <c r="S66" s="46">
        <f t="shared" ref="S66" si="158">IFERROR(((1/4)*G66+(3/4)*H66)/1000,"")</f>
        <v>0.72148166087683263</v>
      </c>
      <c r="T66" s="46">
        <f t="shared" ref="T66" si="159">IFERROR(((1/4)*H66+(3/4)*I66)/1000,"")</f>
        <v>0.491986351058041</v>
      </c>
      <c r="U66" s="46">
        <f t="shared" ref="U66" si="160">IFERROR(((1/4)*I66+(3/4)*J66)/1000,"")</f>
        <v>1.5248643683587011</v>
      </c>
      <c r="V66" s="46">
        <f t="shared" ref="V66" si="161">IFERROR(((1/4)*J66+(3/4)*K66)/1000,"")</f>
        <v>1.7634970293784917</v>
      </c>
      <c r="W66" s="46">
        <f t="shared" ref="W66" si="162">IFERROR(((1/4)*K66+(3/4)*L66)/1000,"")</f>
        <v>1.8131886174733136</v>
      </c>
      <c r="X66" s="46">
        <f t="shared" ref="X66" si="163">IFERROR(((1/4)*L66+(3/4)*M66)/1000,"")</f>
        <v>1.5882257335790164</v>
      </c>
      <c r="Y66" s="46">
        <f t="shared" ref="Y66" si="164">IFERROR(((1/4)*M66+(3/4)*N66)/1000,"")</f>
        <v>3.2524159725162622</v>
      </c>
      <c r="Z66" s="46">
        <f t="shared" ref="Z66" si="165">IFERROR(((1/4)*N66+(3/4)*O66)/1000,"")</f>
        <v>2.2748186196993547</v>
      </c>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1:59" x14ac:dyDescent="0.25">
      <c r="A67" s="204"/>
      <c r="B67" s="56" t="s">
        <v>170</v>
      </c>
      <c r="C67" s="44" t="s">
        <v>171</v>
      </c>
      <c r="D67" s="57">
        <f>IFERROR(VLOOKUP($B67,'7'!$A$5:$M$31,2,FALSE)/10^3,"")</f>
        <v>204.12710308764875</v>
      </c>
      <c r="E67" s="57">
        <f>IFERROR(VLOOKUP($B67,'7'!$A$5:$M$31,3,FALSE)/10^3,"")</f>
        <v>77.763283304609359</v>
      </c>
      <c r="F67" s="57">
        <f>IFERROR(VLOOKUP($B67,'7'!$A$5:$M$31,4,FALSE)/10^3,"")</f>
        <v>333.48917390228809</v>
      </c>
      <c r="G67" s="57">
        <f>IFERROR(VLOOKUP($B67,'7'!$A$5:$M$31,5,FALSE)/10^3,"")</f>
        <v>29.694826436117292</v>
      </c>
      <c r="H67" s="57">
        <f>IFERROR(VLOOKUP($B67,'7'!$A$5:$M$31,6,FALSE)/10^3,"")</f>
        <v>210.54819600359724</v>
      </c>
      <c r="I67" s="57">
        <f>IFERROR(VLOOKUP($B67,'7'!$A$5:$M$31,7,FALSE)/10^3,"")</f>
        <v>462.9126034289468</v>
      </c>
      <c r="J67" s="57">
        <f>IFERROR(VLOOKUP($B67,'7'!$A$5:$M$31,8,FALSE)/10^3,"")</f>
        <v>361.65381627810746</v>
      </c>
      <c r="K67" s="57">
        <f>IFERROR(VLOOKUP($B67,'7'!$A$5:$M$31,9,FALSE)/10^3,"")</f>
        <v>716.20846177131682</v>
      </c>
      <c r="L67" s="57">
        <f>IFERROR(VLOOKUP($B67,'7'!$A$5:$M$31,10,FALSE)/10^3,"")</f>
        <v>449.87652907383443</v>
      </c>
      <c r="M67" s="57">
        <f>IFERROR(VLOOKUP($B67,'7'!$A$5:$M$31,11,FALSE)/10^3,"")</f>
        <v>342.06190037501977</v>
      </c>
      <c r="N67" s="57">
        <f>IFERROR(VLOOKUP($B67,'7'!$A$5:$M$31,12,FALSE)/10^3,"")</f>
        <v>493.25743940794655</v>
      </c>
      <c r="O67" s="57">
        <f>IFERROR(VLOOKUP($B67,'7'!$A$5:$M$31,13,FALSE)/10^3,"")</f>
        <v>296.98868986433746</v>
      </c>
      <c r="P67" s="46">
        <f t="shared" ref="P67:P69" si="166">IFERROR(((1/4)*D67+(3/4)*E67)/1000,"")</f>
        <v>0.1093542382503692</v>
      </c>
      <c r="Q67" s="46">
        <f t="shared" ref="Q67:Q69" si="167">IFERROR(((1/4)*E67+(3/4)*F67)/1000,"")</f>
        <v>0.26955770125286843</v>
      </c>
      <c r="R67" s="46">
        <f t="shared" ref="R67:R69" si="168">IFERROR(((1/4)*F67+(3/4)*G67)/1000,"")</f>
        <v>0.10564341330266</v>
      </c>
      <c r="S67" s="46">
        <f t="shared" ref="S67:S69" si="169">IFERROR(((1/4)*G67+(3/4)*H67)/1000,"")</f>
        <v>0.16533485361172726</v>
      </c>
      <c r="T67" s="46">
        <f t="shared" ref="T67:T69" si="170">IFERROR(((1/4)*H67+(3/4)*I67)/1000,"")</f>
        <v>0.39982150157260943</v>
      </c>
      <c r="U67" s="46">
        <f t="shared" ref="U67:U69" si="171">IFERROR(((1/4)*I67+(3/4)*J67)/1000,"")</f>
        <v>0.38696851306581725</v>
      </c>
      <c r="V67" s="46">
        <f t="shared" ref="V67:V69" si="172">IFERROR(((1/4)*J67+(3/4)*K67)/1000,"")</f>
        <v>0.62756980039801458</v>
      </c>
      <c r="W67" s="46">
        <f t="shared" ref="W67:W69" si="173">IFERROR(((1/4)*K67+(3/4)*L67)/1000,"")</f>
        <v>0.51645951224820497</v>
      </c>
      <c r="X67" s="46">
        <f t="shared" ref="X67:X69" si="174">IFERROR(((1/4)*L67+(3/4)*M67)/1000,"")</f>
        <v>0.36901555754972343</v>
      </c>
      <c r="Y67" s="46">
        <f t="shared" ref="Y67:Y69" si="175">IFERROR(((1/4)*M67+(3/4)*N67)/1000,"")</f>
        <v>0.45545855464971485</v>
      </c>
      <c r="Z67" s="46">
        <f t="shared" ref="Z67:Z69" si="176">IFERROR(((1/4)*N67+(3/4)*O67)/1000,"")</f>
        <v>0.34605587725023973</v>
      </c>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1:59" x14ac:dyDescent="0.25">
      <c r="A68" s="204"/>
      <c r="B68" s="56" t="s">
        <v>172</v>
      </c>
      <c r="C68" s="44" t="s">
        <v>173</v>
      </c>
      <c r="D68" s="57" t="str">
        <f>IFERROR(VLOOKUP($B68,'7'!$A$5:$M$31,2,FALSE)/10^3,"")</f>
        <v/>
      </c>
      <c r="E68" s="57" t="str">
        <f>IFERROR(VLOOKUP($B68,'7'!$A$5:$M$31,3,FALSE)/10^3,"")</f>
        <v/>
      </c>
      <c r="F68" s="57" t="str">
        <f>IFERROR(VLOOKUP($B68,'7'!$A$5:$M$31,4,FALSE)/10^3,"")</f>
        <v/>
      </c>
      <c r="G68" s="57" t="str">
        <f>IFERROR(VLOOKUP($B68,'7'!$A$5:$M$31,5,FALSE)/10^3,"")</f>
        <v/>
      </c>
      <c r="H68" s="57" t="str">
        <f>IFERROR(VLOOKUP($B68,'7'!$A$5:$M$31,6,FALSE)/10^3,"")</f>
        <v/>
      </c>
      <c r="I68" s="57" t="str">
        <f>IFERROR(VLOOKUP($B68,'7'!$A$5:$M$31,7,FALSE)/10^3,"")</f>
        <v/>
      </c>
      <c r="J68" s="57" t="str">
        <f>IFERROR(VLOOKUP($B68,'7'!$A$5:$M$31,8,FALSE)/10^3,"")</f>
        <v/>
      </c>
      <c r="K68" s="57" t="str">
        <f>IFERROR(VLOOKUP($B68,'7'!$A$5:$M$31,9,FALSE)/10^3,"")</f>
        <v/>
      </c>
      <c r="L68" s="57" t="str">
        <f>IFERROR(VLOOKUP($B68,'7'!$A$5:$M$31,10,FALSE)/10^3,"")</f>
        <v/>
      </c>
      <c r="M68" s="57" t="str">
        <f>IFERROR(VLOOKUP($B68,'7'!$A$5:$M$31,11,FALSE)/10^3,"")</f>
        <v/>
      </c>
      <c r="N68" s="57" t="str">
        <f>IFERROR(VLOOKUP($B68,'7'!$A$5:$M$31,12,FALSE)/10^3,"")</f>
        <v/>
      </c>
      <c r="O68" s="57" t="str">
        <f>IFERROR(VLOOKUP($B68,'7'!$A$5:$M$31,13,FALSE)/10^3,"")</f>
        <v/>
      </c>
      <c r="P68" s="46" t="str">
        <f t="shared" si="166"/>
        <v/>
      </c>
      <c r="Q68" s="46" t="str">
        <f t="shared" si="167"/>
        <v/>
      </c>
      <c r="R68" s="46" t="str">
        <f t="shared" si="168"/>
        <v/>
      </c>
      <c r="S68" s="46" t="str">
        <f t="shared" si="169"/>
        <v/>
      </c>
      <c r="T68" s="46" t="str">
        <f t="shared" si="170"/>
        <v/>
      </c>
      <c r="U68" s="46" t="str">
        <f t="shared" si="171"/>
        <v/>
      </c>
      <c r="V68" s="46" t="str">
        <f t="shared" si="172"/>
        <v/>
      </c>
      <c r="W68" s="46" t="str">
        <f t="shared" si="173"/>
        <v/>
      </c>
      <c r="X68" s="46" t="str">
        <f t="shared" si="174"/>
        <v/>
      </c>
      <c r="Y68" s="46" t="str">
        <f t="shared" si="175"/>
        <v/>
      </c>
      <c r="Z68" s="46" t="str">
        <f t="shared" si="176"/>
        <v/>
      </c>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1:59" x14ac:dyDescent="0.25">
      <c r="A69" s="204"/>
      <c r="B69" s="56" t="s">
        <v>174</v>
      </c>
      <c r="C69" s="44" t="s">
        <v>175</v>
      </c>
      <c r="D69" s="57" t="str">
        <f>IFERROR(VLOOKUP($B69,'7'!$A$5:$M$31,2,FALSE)/10^3,"")</f>
        <v/>
      </c>
      <c r="E69" s="57" t="str">
        <f>IFERROR(VLOOKUP($B69,'7'!$A$5:$M$31,3,FALSE)/10^3,"")</f>
        <v/>
      </c>
      <c r="F69" s="57" t="str">
        <f>IFERROR(VLOOKUP($B69,'7'!$A$5:$M$31,4,FALSE)/10^3,"")</f>
        <v/>
      </c>
      <c r="G69" s="57" t="str">
        <f>IFERROR(VLOOKUP($B69,'7'!$A$5:$M$31,5,FALSE)/10^3,"")</f>
        <v/>
      </c>
      <c r="H69" s="57" t="str">
        <f>IFERROR(VLOOKUP($B69,'7'!$A$5:$M$31,6,FALSE)/10^3,"")</f>
        <v/>
      </c>
      <c r="I69" s="57" t="str">
        <f>IFERROR(VLOOKUP($B69,'7'!$A$5:$M$31,7,FALSE)/10^3,"")</f>
        <v/>
      </c>
      <c r="J69" s="57" t="str">
        <f>IFERROR(VLOOKUP($B69,'7'!$A$5:$M$31,8,FALSE)/10^3,"")</f>
        <v/>
      </c>
      <c r="K69" s="57" t="str">
        <f>IFERROR(VLOOKUP($B69,'7'!$A$5:$M$31,9,FALSE)/10^3,"")</f>
        <v/>
      </c>
      <c r="L69" s="57" t="str">
        <f>IFERROR(VLOOKUP($B69,'7'!$A$5:$M$31,10,FALSE)/10^3,"")</f>
        <v/>
      </c>
      <c r="M69" s="57" t="str">
        <f>IFERROR(VLOOKUP($B69,'7'!$A$5:$M$31,11,FALSE)/10^3,"")</f>
        <v/>
      </c>
      <c r="N69" s="57" t="str">
        <f>IFERROR(VLOOKUP($B69,'7'!$A$5:$M$31,12,FALSE)/10^3,"")</f>
        <v/>
      </c>
      <c r="O69" s="57" t="str">
        <f>IFERROR(VLOOKUP($B69,'7'!$A$5:$M$31,13,FALSE)/10^3,"")</f>
        <v/>
      </c>
      <c r="P69" s="46" t="str">
        <f t="shared" si="166"/>
        <v/>
      </c>
      <c r="Q69" s="46" t="str">
        <f t="shared" si="167"/>
        <v/>
      </c>
      <c r="R69" s="46" t="str">
        <f t="shared" si="168"/>
        <v/>
      </c>
      <c r="S69" s="46" t="str">
        <f t="shared" si="169"/>
        <v/>
      </c>
      <c r="T69" s="46" t="str">
        <f t="shared" si="170"/>
        <v/>
      </c>
      <c r="U69" s="46" t="str">
        <f t="shared" si="171"/>
        <v/>
      </c>
      <c r="V69" s="46" t="str">
        <f t="shared" si="172"/>
        <v/>
      </c>
      <c r="W69" s="46" t="str">
        <f t="shared" si="173"/>
        <v/>
      </c>
      <c r="X69" s="46" t="str">
        <f t="shared" si="174"/>
        <v/>
      </c>
      <c r="Y69" s="46" t="str">
        <f t="shared" si="175"/>
        <v/>
      </c>
      <c r="Z69" s="46" t="str">
        <f t="shared" si="176"/>
        <v/>
      </c>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1:59" x14ac:dyDescent="0.25">
      <c r="A70" s="204"/>
      <c r="B70" s="55" t="s">
        <v>176</v>
      </c>
      <c r="C70" s="40" t="s">
        <v>177</v>
      </c>
      <c r="D70" s="62">
        <f t="shared" ref="D70:X70" si="177">SUM(D71:D75)</f>
        <v>0</v>
      </c>
      <c r="E70" s="62">
        <f t="shared" si="177"/>
        <v>0</v>
      </c>
      <c r="F70" s="62">
        <f t="shared" si="177"/>
        <v>0</v>
      </c>
      <c r="G70" s="62">
        <f t="shared" si="177"/>
        <v>0</v>
      </c>
      <c r="H70" s="62">
        <f t="shared" si="177"/>
        <v>0</v>
      </c>
      <c r="I70" s="62">
        <f t="shared" si="177"/>
        <v>0</v>
      </c>
      <c r="J70" s="62">
        <f t="shared" si="177"/>
        <v>0</v>
      </c>
      <c r="K70" s="62">
        <f t="shared" si="177"/>
        <v>0</v>
      </c>
      <c r="L70" s="62">
        <f t="shared" si="177"/>
        <v>0</v>
      </c>
      <c r="M70" s="62">
        <f t="shared" si="177"/>
        <v>0</v>
      </c>
      <c r="N70" s="62">
        <f t="shared" si="177"/>
        <v>0</v>
      </c>
      <c r="O70" s="62">
        <f t="shared" si="177"/>
        <v>0</v>
      </c>
      <c r="P70" s="62">
        <f t="shared" si="177"/>
        <v>0</v>
      </c>
      <c r="Q70" s="62">
        <f t="shared" si="177"/>
        <v>0</v>
      </c>
      <c r="R70" s="62">
        <f t="shared" si="177"/>
        <v>0</v>
      </c>
      <c r="S70" s="62">
        <f t="shared" si="177"/>
        <v>0</v>
      </c>
      <c r="T70" s="62">
        <f t="shared" si="177"/>
        <v>0</v>
      </c>
      <c r="U70" s="62">
        <f t="shared" si="177"/>
        <v>0</v>
      </c>
      <c r="V70" s="62">
        <f t="shared" si="177"/>
        <v>0</v>
      </c>
      <c r="W70" s="62">
        <f t="shared" si="177"/>
        <v>0</v>
      </c>
      <c r="X70" s="62">
        <f t="shared" si="177"/>
        <v>0</v>
      </c>
      <c r="Y70" s="62">
        <f t="shared" ref="Y70:Z70" si="178">SUM(Y71:Y75)</f>
        <v>0</v>
      </c>
      <c r="Z70" s="62">
        <f t="shared" si="178"/>
        <v>0</v>
      </c>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1:59" x14ac:dyDescent="0.25">
      <c r="A71" s="204"/>
      <c r="B71" s="63" t="s">
        <v>178</v>
      </c>
      <c r="C71" s="44" t="s">
        <v>179</v>
      </c>
      <c r="D71" s="201" t="s">
        <v>50</v>
      </c>
      <c r="E71" s="201"/>
      <c r="F71" s="201"/>
      <c r="G71" s="201"/>
      <c r="H71" s="201"/>
      <c r="I71" s="201"/>
      <c r="J71" s="201"/>
      <c r="K71" s="201"/>
      <c r="L71" s="201"/>
      <c r="M71" s="201"/>
      <c r="N71" s="201"/>
      <c r="O71" s="201"/>
      <c r="P71" s="201"/>
      <c r="Q71" s="201"/>
      <c r="R71" s="201"/>
      <c r="S71" s="201"/>
      <c r="T71" s="201"/>
      <c r="U71" s="201"/>
      <c r="V71" s="201"/>
      <c r="W71" s="201"/>
      <c r="X71" s="201"/>
      <c r="Y71" s="201"/>
      <c r="Z71" s="201"/>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x14ac:dyDescent="0.25">
      <c r="A72" s="204"/>
      <c r="B72" s="63" t="s">
        <v>180</v>
      </c>
      <c r="C72" s="44" t="s">
        <v>181</v>
      </c>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x14ac:dyDescent="0.25">
      <c r="A73" s="204"/>
      <c r="B73" s="63" t="s">
        <v>182</v>
      </c>
      <c r="C73" s="44" t="s">
        <v>183</v>
      </c>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59" x14ac:dyDescent="0.25">
      <c r="A74" s="204"/>
      <c r="B74" s="63" t="s">
        <v>184</v>
      </c>
      <c r="C74" s="44" t="s">
        <v>185</v>
      </c>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x14ac:dyDescent="0.25">
      <c r="A75" s="204"/>
      <c r="B75" s="63" t="s">
        <v>186</v>
      </c>
      <c r="C75" s="44" t="s">
        <v>111</v>
      </c>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ht="30" x14ac:dyDescent="0.25">
      <c r="A76" s="204"/>
      <c r="B76" s="39" t="s">
        <v>187</v>
      </c>
      <c r="C76" s="40" t="s">
        <v>188</v>
      </c>
      <c r="D76" s="64"/>
      <c r="E76" s="64"/>
      <c r="F76" s="65">
        <f t="shared" ref="F76:Z76" si="179">SUM(F77:F84)</f>
        <v>0</v>
      </c>
      <c r="G76" s="65">
        <f t="shared" si="179"/>
        <v>0</v>
      </c>
      <c r="H76" s="65">
        <f t="shared" si="179"/>
        <v>0</v>
      </c>
      <c r="I76" s="65">
        <f t="shared" si="179"/>
        <v>0</v>
      </c>
      <c r="J76" s="65">
        <f t="shared" si="179"/>
        <v>0</v>
      </c>
      <c r="K76" s="65">
        <f t="shared" si="179"/>
        <v>0</v>
      </c>
      <c r="L76" s="65">
        <f t="shared" si="179"/>
        <v>0</v>
      </c>
      <c r="M76" s="65">
        <f t="shared" si="179"/>
        <v>0</v>
      </c>
      <c r="N76" s="65">
        <f t="shared" si="179"/>
        <v>0</v>
      </c>
      <c r="O76" s="65">
        <f t="shared" si="179"/>
        <v>0</v>
      </c>
      <c r="P76" s="65"/>
      <c r="Q76" s="65"/>
      <c r="R76" s="65">
        <f t="shared" si="179"/>
        <v>0</v>
      </c>
      <c r="S76" s="65">
        <f t="shared" si="179"/>
        <v>0</v>
      </c>
      <c r="T76" s="65">
        <f t="shared" si="179"/>
        <v>0</v>
      </c>
      <c r="U76" s="65">
        <f t="shared" si="179"/>
        <v>0</v>
      </c>
      <c r="V76" s="65">
        <f t="shared" si="179"/>
        <v>0</v>
      </c>
      <c r="W76" s="65">
        <f t="shared" si="179"/>
        <v>0</v>
      </c>
      <c r="X76" s="65">
        <f t="shared" si="179"/>
        <v>0</v>
      </c>
      <c r="Y76" s="65">
        <f t="shared" si="179"/>
        <v>0</v>
      </c>
      <c r="Z76" s="65">
        <f t="shared" si="179"/>
        <v>0</v>
      </c>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1:59" x14ac:dyDescent="0.25">
      <c r="A77" s="204"/>
      <c r="B77" s="56" t="s">
        <v>189</v>
      </c>
      <c r="C77" s="44" t="s">
        <v>190</v>
      </c>
      <c r="D77" s="201" t="s">
        <v>50</v>
      </c>
      <c r="E77" s="201"/>
      <c r="F77" s="201"/>
      <c r="G77" s="201"/>
      <c r="H77" s="201"/>
      <c r="I77" s="201"/>
      <c r="J77" s="201"/>
      <c r="K77" s="201"/>
      <c r="L77" s="201"/>
      <c r="M77" s="201"/>
      <c r="N77" s="201"/>
      <c r="O77" s="201"/>
      <c r="P77" s="201"/>
      <c r="Q77" s="201"/>
      <c r="R77" s="201"/>
      <c r="S77" s="201"/>
      <c r="T77" s="201"/>
      <c r="U77" s="201"/>
      <c r="V77" s="201"/>
      <c r="W77" s="201"/>
      <c r="X77" s="201"/>
      <c r="Y77" s="201"/>
      <c r="Z77" s="201"/>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x14ac:dyDescent="0.25">
      <c r="A78" s="204"/>
      <c r="B78" s="56" t="s">
        <v>191</v>
      </c>
      <c r="C78" s="44" t="s">
        <v>192</v>
      </c>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1:59" x14ac:dyDescent="0.25">
      <c r="A79" s="204"/>
      <c r="B79" s="56" t="s">
        <v>193</v>
      </c>
      <c r="C79" s="44" t="s">
        <v>194</v>
      </c>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x14ac:dyDescent="0.25">
      <c r="A80" s="204"/>
      <c r="B80" s="56" t="s">
        <v>195</v>
      </c>
      <c r="C80" s="44" t="s">
        <v>196</v>
      </c>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x14ac:dyDescent="0.25">
      <c r="A81" s="204"/>
      <c r="B81" s="56" t="s">
        <v>197</v>
      </c>
      <c r="C81" s="44" t="s">
        <v>198</v>
      </c>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x14ac:dyDescent="0.25">
      <c r="A82" s="204"/>
      <c r="B82" s="56" t="s">
        <v>199</v>
      </c>
      <c r="C82" s="44" t="s">
        <v>200</v>
      </c>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x14ac:dyDescent="0.25">
      <c r="A83" s="204"/>
      <c r="B83" s="56" t="s">
        <v>201</v>
      </c>
      <c r="C83" s="44" t="s">
        <v>202</v>
      </c>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x14ac:dyDescent="0.25">
      <c r="A84" s="204"/>
      <c r="B84" s="56" t="s">
        <v>203</v>
      </c>
      <c r="C84" s="44" t="s">
        <v>204</v>
      </c>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x14ac:dyDescent="0.25">
      <c r="A85" s="204"/>
      <c r="B85" s="55" t="s">
        <v>205</v>
      </c>
      <c r="C85" s="40" t="s">
        <v>206</v>
      </c>
      <c r="D85" s="65">
        <f t="shared" ref="D85:Z85" si="180">SUM(D86:D98)</f>
        <v>0</v>
      </c>
      <c r="E85" s="65">
        <f t="shared" si="180"/>
        <v>0</v>
      </c>
      <c r="F85" s="65">
        <f t="shared" si="180"/>
        <v>0</v>
      </c>
      <c r="G85" s="65">
        <f t="shared" si="180"/>
        <v>0</v>
      </c>
      <c r="H85" s="65">
        <f t="shared" si="180"/>
        <v>0</v>
      </c>
      <c r="I85" s="65">
        <f t="shared" si="180"/>
        <v>0</v>
      </c>
      <c r="J85" s="65">
        <f t="shared" si="180"/>
        <v>0</v>
      </c>
      <c r="K85" s="65">
        <f t="shared" si="180"/>
        <v>0</v>
      </c>
      <c r="L85" s="65">
        <f t="shared" si="180"/>
        <v>0</v>
      </c>
      <c r="M85" s="65">
        <f t="shared" si="180"/>
        <v>0</v>
      </c>
      <c r="N85" s="65">
        <f t="shared" si="180"/>
        <v>0</v>
      </c>
      <c r="O85" s="65">
        <f t="shared" si="180"/>
        <v>0</v>
      </c>
      <c r="P85" s="65">
        <f t="shared" si="180"/>
        <v>0</v>
      </c>
      <c r="Q85" s="65">
        <f t="shared" si="180"/>
        <v>0</v>
      </c>
      <c r="R85" s="65">
        <f t="shared" si="180"/>
        <v>0</v>
      </c>
      <c r="S85" s="65">
        <f t="shared" si="180"/>
        <v>0</v>
      </c>
      <c r="T85" s="65">
        <f t="shared" si="180"/>
        <v>0</v>
      </c>
      <c r="U85" s="65">
        <f t="shared" si="180"/>
        <v>0</v>
      </c>
      <c r="V85" s="65">
        <f t="shared" si="180"/>
        <v>0</v>
      </c>
      <c r="W85" s="65">
        <f t="shared" si="180"/>
        <v>0</v>
      </c>
      <c r="X85" s="65">
        <f t="shared" si="180"/>
        <v>0</v>
      </c>
      <c r="Y85" s="65">
        <f t="shared" si="180"/>
        <v>0</v>
      </c>
      <c r="Z85" s="65">
        <f t="shared" si="180"/>
        <v>0</v>
      </c>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x14ac:dyDescent="0.25">
      <c r="A86" s="204"/>
      <c r="B86" s="56" t="s">
        <v>207</v>
      </c>
      <c r="C86" s="60" t="s">
        <v>208</v>
      </c>
      <c r="D86" s="201" t="s">
        <v>50</v>
      </c>
      <c r="E86" s="201"/>
      <c r="F86" s="201"/>
      <c r="G86" s="201"/>
      <c r="H86" s="201"/>
      <c r="I86" s="201"/>
      <c r="J86" s="201"/>
      <c r="K86" s="201"/>
      <c r="L86" s="201"/>
      <c r="M86" s="201"/>
      <c r="N86" s="201"/>
      <c r="O86" s="201"/>
      <c r="P86" s="201"/>
      <c r="Q86" s="201"/>
      <c r="R86" s="201"/>
      <c r="S86" s="201"/>
      <c r="T86" s="201"/>
      <c r="U86" s="201"/>
      <c r="V86" s="201"/>
      <c r="W86" s="201"/>
      <c r="X86" s="201"/>
      <c r="Y86" s="201"/>
      <c r="Z86" s="201"/>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x14ac:dyDescent="0.25">
      <c r="A87" s="204"/>
      <c r="B87" s="56" t="s">
        <v>209</v>
      </c>
      <c r="C87" s="44" t="s">
        <v>210</v>
      </c>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x14ac:dyDescent="0.25">
      <c r="A88" s="204"/>
      <c r="B88" s="56" t="s">
        <v>211</v>
      </c>
      <c r="C88" s="44" t="s">
        <v>212</v>
      </c>
      <c r="D88" s="201"/>
      <c r="E88" s="201"/>
      <c r="F88" s="201"/>
      <c r="G88" s="201"/>
      <c r="H88" s="201"/>
      <c r="I88" s="201"/>
      <c r="J88" s="201"/>
      <c r="K88" s="201"/>
      <c r="L88" s="201"/>
      <c r="M88" s="201"/>
      <c r="N88" s="201"/>
      <c r="O88" s="201"/>
      <c r="P88" s="201"/>
      <c r="Q88" s="201"/>
      <c r="R88" s="201"/>
      <c r="S88" s="201"/>
      <c r="T88" s="201"/>
      <c r="U88" s="201"/>
      <c r="V88" s="201"/>
      <c r="W88" s="201"/>
      <c r="X88" s="201"/>
      <c r="Y88" s="201"/>
      <c r="Z88" s="201"/>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x14ac:dyDescent="0.25">
      <c r="A89" s="204"/>
      <c r="B89" s="56" t="s">
        <v>213</v>
      </c>
      <c r="C89" s="44" t="s">
        <v>214</v>
      </c>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x14ac:dyDescent="0.25">
      <c r="A90" s="204"/>
      <c r="B90" s="56" t="s">
        <v>215</v>
      </c>
      <c r="C90" s="60" t="s">
        <v>216</v>
      </c>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x14ac:dyDescent="0.25">
      <c r="A91" s="204"/>
      <c r="B91" s="56" t="s">
        <v>217</v>
      </c>
      <c r="C91" s="44" t="s">
        <v>218</v>
      </c>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x14ac:dyDescent="0.25">
      <c r="A92" s="204"/>
      <c r="B92" s="56" t="s">
        <v>219</v>
      </c>
      <c r="C92" s="44" t="s">
        <v>220</v>
      </c>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x14ac:dyDescent="0.25">
      <c r="A93" s="204"/>
      <c r="B93" s="56" t="s">
        <v>221</v>
      </c>
      <c r="C93" s="44" t="s">
        <v>111</v>
      </c>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x14ac:dyDescent="0.25">
      <c r="A94" s="204"/>
      <c r="B94" s="56" t="s">
        <v>222</v>
      </c>
      <c r="C94" s="60" t="s">
        <v>223</v>
      </c>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x14ac:dyDescent="0.25">
      <c r="A95" s="204"/>
      <c r="B95" s="56" t="s">
        <v>224</v>
      </c>
      <c r="C95" s="44" t="s">
        <v>225</v>
      </c>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x14ac:dyDescent="0.25">
      <c r="A96" s="204"/>
      <c r="B96" s="56" t="s">
        <v>226</v>
      </c>
      <c r="C96" s="44" t="s">
        <v>227</v>
      </c>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x14ac:dyDescent="0.25">
      <c r="A97" s="204"/>
      <c r="B97" s="56" t="s">
        <v>228</v>
      </c>
      <c r="C97" s="44" t="s">
        <v>111</v>
      </c>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x14ac:dyDescent="0.25">
      <c r="A98" s="204"/>
      <c r="B98" s="56" t="s">
        <v>229</v>
      </c>
      <c r="C98" s="44" t="s">
        <v>111</v>
      </c>
      <c r="D98" s="201"/>
      <c r="E98" s="201"/>
      <c r="F98" s="201"/>
      <c r="G98" s="201"/>
      <c r="H98" s="201"/>
      <c r="I98" s="201"/>
      <c r="J98" s="201"/>
      <c r="K98" s="201"/>
      <c r="L98" s="201"/>
      <c r="M98" s="201"/>
      <c r="N98" s="201"/>
      <c r="O98" s="201"/>
      <c r="P98" s="201"/>
      <c r="Q98" s="201"/>
      <c r="R98" s="201"/>
      <c r="S98" s="201"/>
      <c r="T98" s="201"/>
      <c r="U98" s="201"/>
      <c r="V98" s="201"/>
      <c r="W98" s="201"/>
      <c r="X98" s="201"/>
      <c r="Y98" s="201"/>
      <c r="Z98" s="201"/>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x14ac:dyDescent="0.25">
      <c r="A99" s="204"/>
      <c r="B99" s="55" t="s">
        <v>230</v>
      </c>
      <c r="C99" s="40" t="s">
        <v>111</v>
      </c>
      <c r="D99" s="65">
        <f t="shared" ref="D99:Z99" si="181">SUM(D100:D102)</f>
        <v>0</v>
      </c>
      <c r="E99" s="65">
        <f t="shared" si="181"/>
        <v>0</v>
      </c>
      <c r="F99" s="65">
        <f t="shared" si="181"/>
        <v>0</v>
      </c>
      <c r="G99" s="65">
        <f t="shared" si="181"/>
        <v>0</v>
      </c>
      <c r="H99" s="65">
        <f t="shared" si="181"/>
        <v>0</v>
      </c>
      <c r="I99" s="65">
        <f t="shared" si="181"/>
        <v>0</v>
      </c>
      <c r="J99" s="65">
        <f t="shared" si="181"/>
        <v>0</v>
      </c>
      <c r="K99" s="65">
        <f t="shared" si="181"/>
        <v>0</v>
      </c>
      <c r="L99" s="65">
        <f t="shared" si="181"/>
        <v>0</v>
      </c>
      <c r="M99" s="65">
        <f t="shared" si="181"/>
        <v>0</v>
      </c>
      <c r="N99" s="65">
        <f t="shared" si="181"/>
        <v>0</v>
      </c>
      <c r="O99" s="65">
        <f t="shared" si="181"/>
        <v>0</v>
      </c>
      <c r="P99" s="65">
        <f t="shared" si="181"/>
        <v>0</v>
      </c>
      <c r="Q99" s="65">
        <f t="shared" si="181"/>
        <v>0</v>
      </c>
      <c r="R99" s="65">
        <f t="shared" si="181"/>
        <v>0</v>
      </c>
      <c r="S99" s="65">
        <f t="shared" si="181"/>
        <v>0</v>
      </c>
      <c r="T99" s="65">
        <f t="shared" si="181"/>
        <v>0</v>
      </c>
      <c r="U99" s="65">
        <f t="shared" si="181"/>
        <v>0</v>
      </c>
      <c r="V99" s="65">
        <f t="shared" si="181"/>
        <v>0</v>
      </c>
      <c r="W99" s="65">
        <f t="shared" si="181"/>
        <v>0</v>
      </c>
      <c r="X99" s="65">
        <f t="shared" si="181"/>
        <v>0</v>
      </c>
      <c r="Y99" s="65">
        <f t="shared" si="181"/>
        <v>0</v>
      </c>
      <c r="Z99" s="65">
        <f t="shared" si="181"/>
        <v>0</v>
      </c>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x14ac:dyDescent="0.25">
      <c r="A100" s="204"/>
      <c r="B100" s="56" t="s">
        <v>231</v>
      </c>
      <c r="C100" s="44" t="s">
        <v>232</v>
      </c>
      <c r="D100" s="201" t="s">
        <v>50</v>
      </c>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row r="101" spans="1:59" x14ac:dyDescent="0.25">
      <c r="A101" s="204"/>
      <c r="B101" s="56" t="s">
        <v>233</v>
      </c>
      <c r="C101" s="44" t="s">
        <v>234</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row>
    <row r="102" spans="1:59" x14ac:dyDescent="0.25">
      <c r="A102" s="204"/>
      <c r="B102" s="56" t="s">
        <v>235</v>
      </c>
      <c r="C102" s="44" t="s">
        <v>111</v>
      </c>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row>
    <row r="103" spans="1:59" ht="17.100000000000001" customHeight="1" x14ac:dyDescent="0.25">
      <c r="A103" s="36"/>
      <c r="B103" s="190" t="s">
        <v>236</v>
      </c>
      <c r="C103" s="190"/>
      <c r="D103" s="66">
        <f t="shared" ref="D103:Z103" si="182">SUM(D5+D11+D28+D38+D57+D65+D70+D76+D85+D99)</f>
        <v>332640.02114257251</v>
      </c>
      <c r="E103" s="66">
        <f t="shared" si="182"/>
        <v>343127.500657934</v>
      </c>
      <c r="F103" s="66">
        <f t="shared" si="182"/>
        <v>388981.50251711562</v>
      </c>
      <c r="G103" s="66">
        <f t="shared" si="182"/>
        <v>439370.91422573494</v>
      </c>
      <c r="H103" s="66">
        <f t="shared" si="182"/>
        <v>465132.59827032115</v>
      </c>
      <c r="I103" s="66">
        <f t="shared" si="182"/>
        <v>527018.119551818</v>
      </c>
      <c r="J103" s="66">
        <f t="shared" si="182"/>
        <v>550485.39119958226</v>
      </c>
      <c r="K103" s="66">
        <f t="shared" si="182"/>
        <v>578978.73421724467</v>
      </c>
      <c r="L103" s="66">
        <f t="shared" si="182"/>
        <v>632095.77332853049</v>
      </c>
      <c r="M103" s="66">
        <f t="shared" si="182"/>
        <v>625966.83528501366</v>
      </c>
      <c r="N103" s="66">
        <f t="shared" si="182"/>
        <v>680439.89823940641</v>
      </c>
      <c r="O103" s="66">
        <f t="shared" si="182"/>
        <v>620215.02062193386</v>
      </c>
      <c r="P103" s="66">
        <f t="shared" si="182"/>
        <v>340.50563077909356</v>
      </c>
      <c r="Q103" s="66">
        <f t="shared" si="182"/>
        <v>377.51800205232024</v>
      </c>
      <c r="R103" s="66">
        <f t="shared" si="182"/>
        <v>426.77356129858003</v>
      </c>
      <c r="S103" s="66">
        <f t="shared" si="182"/>
        <v>458.69217725917451</v>
      </c>
      <c r="T103" s="66">
        <f t="shared" si="182"/>
        <v>511.54673923144384</v>
      </c>
      <c r="U103" s="66">
        <f t="shared" si="182"/>
        <v>544.6185732876412</v>
      </c>
      <c r="V103" s="66">
        <f t="shared" si="182"/>
        <v>571.85539846282904</v>
      </c>
      <c r="W103" s="66">
        <f t="shared" si="182"/>
        <v>618.81651355070915</v>
      </c>
      <c r="X103" s="66">
        <f t="shared" si="182"/>
        <v>627.49906979589298</v>
      </c>
      <c r="Y103" s="66">
        <f t="shared" si="182"/>
        <v>666.82163250080816</v>
      </c>
      <c r="Z103" s="66">
        <f t="shared" si="182"/>
        <v>635.27124002630183</v>
      </c>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row>
    <row r="104" spans="1:59" x14ac:dyDescent="0.25">
      <c r="A104" s="2"/>
      <c r="B104" s="2"/>
      <c r="C104" s="11"/>
      <c r="D104" s="11"/>
      <c r="E104" s="11"/>
      <c r="F104" s="12"/>
      <c r="G104" s="12"/>
      <c r="H104" s="12"/>
      <c r="I104" s="12"/>
      <c r="J104" s="12"/>
      <c r="K104" s="12"/>
      <c r="L104" s="12"/>
      <c r="M104" s="12"/>
      <c r="N104" s="12"/>
      <c r="O104" s="12"/>
      <c r="P104" s="12"/>
      <c r="Q104" s="12"/>
      <c r="R104" s="12"/>
      <c r="S104" s="12"/>
      <c r="T104" s="12"/>
      <c r="U104" s="12"/>
      <c r="V104" s="12"/>
      <c r="W104" s="12"/>
      <c r="X104" s="1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row>
    <row r="105" spans="1:59" x14ac:dyDescent="0.25">
      <c r="A105" s="2"/>
      <c r="B105" s="2"/>
      <c r="C105" s="2"/>
      <c r="D105" s="2"/>
      <c r="E105" s="2"/>
      <c r="F105" s="13"/>
      <c r="G105" s="13"/>
      <c r="H105" s="13"/>
      <c r="I105" s="13"/>
      <c r="J105" s="13"/>
      <c r="K105" s="13"/>
      <c r="L105" s="13"/>
      <c r="M105" s="13"/>
      <c r="N105" s="13"/>
      <c r="O105" s="13"/>
      <c r="P105" s="13"/>
      <c r="Q105" s="13"/>
      <c r="R105" s="14"/>
      <c r="S105" s="14"/>
      <c r="T105" s="14"/>
      <c r="U105" s="14"/>
      <c r="V105" s="14"/>
      <c r="W105" s="14"/>
      <c r="X105" s="14"/>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row>
    <row r="106" spans="1:5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row>
    <row r="107" spans="1:59" x14ac:dyDescent="0.25">
      <c r="A107" s="2"/>
      <c r="B107" s="2"/>
      <c r="C107" s="3"/>
      <c r="D107" s="3"/>
      <c r="E107" s="3"/>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row>
    <row r="108" spans="1:59" ht="15" customHeight="1" x14ac:dyDescent="0.25">
      <c r="A108" s="2"/>
      <c r="B108" s="2"/>
      <c r="C108" s="3"/>
      <c r="D108" s="3"/>
      <c r="E108" s="3"/>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row>
    <row r="109" spans="1:59" x14ac:dyDescent="0.25">
      <c r="A109" s="2"/>
      <c r="B109" s="2"/>
      <c r="C109" s="3"/>
      <c r="D109" s="3"/>
      <c r="E109" s="3"/>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row>
    <row r="110" spans="1:59" x14ac:dyDescent="0.25">
      <c r="A110" s="2"/>
      <c r="B110" s="2"/>
      <c r="C110" s="3"/>
      <c r="D110" s="3"/>
      <c r="E110" s="3"/>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row>
    <row r="111" spans="1:59" x14ac:dyDescent="0.25">
      <c r="A111" s="2"/>
      <c r="B111" s="2"/>
      <c r="C111" s="3"/>
      <c r="D111" s="3"/>
      <c r="E111" s="3"/>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row>
    <row r="112" spans="1:59" x14ac:dyDescent="0.25">
      <c r="A112" s="2"/>
      <c r="B112" s="2"/>
      <c r="C112" s="3"/>
      <c r="D112" s="3"/>
      <c r="E112" s="3"/>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row>
    <row r="113" spans="1:59" x14ac:dyDescent="0.25">
      <c r="A113" s="2"/>
      <c r="B113" s="2"/>
      <c r="C113" s="3"/>
      <c r="D113" s="3"/>
      <c r="E113" s="3"/>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row>
    <row r="114" spans="1:59" x14ac:dyDescent="0.25">
      <c r="A114" s="2"/>
      <c r="B114" s="2"/>
      <c r="C114" s="3"/>
      <c r="D114" s="3"/>
      <c r="E114" s="3"/>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row>
    <row r="115" spans="1:59" x14ac:dyDescent="0.25">
      <c r="A115" s="2"/>
      <c r="B115" s="2"/>
      <c r="C115" s="3"/>
      <c r="D115" s="3"/>
      <c r="E115" s="3"/>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row>
    <row r="116" spans="1:59" x14ac:dyDescent="0.25">
      <c r="A116" s="2"/>
      <c r="B116" s="2"/>
      <c r="C116" s="3"/>
      <c r="D116" s="3"/>
      <c r="E116" s="3"/>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row>
    <row r="117" spans="1:59" x14ac:dyDescent="0.25">
      <c r="A117" s="2"/>
      <c r="B117" s="2"/>
      <c r="C117" s="3"/>
      <c r="D117" s="3"/>
      <c r="E117" s="3"/>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row>
    <row r="118" spans="1:59" x14ac:dyDescent="0.25">
      <c r="A118" s="2"/>
      <c r="B118" s="2"/>
      <c r="C118" s="3"/>
      <c r="D118" s="3"/>
      <c r="E118" s="3"/>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row>
    <row r="119" spans="1:59" x14ac:dyDescent="0.25">
      <c r="A119" s="2"/>
      <c r="B119" s="2"/>
      <c r="C119" s="3"/>
      <c r="D119" s="3"/>
      <c r="E119" s="3"/>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row>
    <row r="120" spans="1:59" x14ac:dyDescent="0.25">
      <c r="A120" s="2"/>
      <c r="B120" s="2"/>
      <c r="C120" s="3"/>
      <c r="D120" s="3"/>
      <c r="E120" s="3"/>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row>
    <row r="121" spans="1:59" x14ac:dyDescent="0.25">
      <c r="A121" s="2"/>
      <c r="B121" s="2"/>
      <c r="C121" s="3"/>
      <c r="D121" s="3"/>
      <c r="E121" s="3"/>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row>
    <row r="122" spans="1:59" x14ac:dyDescent="0.25">
      <c r="A122" s="2"/>
      <c r="B122" s="2"/>
      <c r="C122" s="3"/>
      <c r="D122" s="3"/>
      <c r="E122" s="3"/>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row>
    <row r="123" spans="1:59" x14ac:dyDescent="0.25">
      <c r="A123" s="2"/>
      <c r="B123" s="2"/>
      <c r="C123" s="3"/>
      <c r="D123" s="3"/>
      <c r="E123" s="3"/>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row>
    <row r="124" spans="1:59" x14ac:dyDescent="0.25">
      <c r="A124" s="2"/>
      <c r="B124" s="2"/>
      <c r="C124" s="3"/>
      <c r="D124" s="3"/>
      <c r="E124" s="3"/>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row>
    <row r="125" spans="1:59" x14ac:dyDescent="0.25">
      <c r="A125" s="2"/>
      <c r="B125" s="2"/>
      <c r="C125" s="3"/>
      <c r="D125" s="3"/>
      <c r="E125" s="3"/>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row r="126" spans="1:59" x14ac:dyDescent="0.25">
      <c r="A126" s="2"/>
      <c r="B126" s="2"/>
      <c r="C126" s="3"/>
      <c r="D126" s="3"/>
      <c r="E126" s="3"/>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row>
    <row r="127" spans="1:59" x14ac:dyDescent="0.25">
      <c r="A127" s="2"/>
      <c r="B127" s="2"/>
      <c r="C127" s="3"/>
      <c r="D127" s="3"/>
      <c r="E127" s="3"/>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row>
    <row r="128" spans="1:59" x14ac:dyDescent="0.25">
      <c r="A128" s="2"/>
      <c r="B128" s="2"/>
      <c r="C128" s="3"/>
      <c r="D128" s="3"/>
      <c r="E128" s="3"/>
      <c r="F128" s="2"/>
      <c r="G128" s="14"/>
      <c r="H128" s="2"/>
      <c r="I128" s="2"/>
      <c r="J128" s="14"/>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row>
    <row r="129" spans="1:59" x14ac:dyDescent="0.25">
      <c r="A129" s="2"/>
      <c r="B129" s="2"/>
      <c r="C129" s="3"/>
      <c r="D129" s="3"/>
      <c r="E129" s="3"/>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row>
    <row r="130" spans="1:59" x14ac:dyDescent="0.25">
      <c r="A130" s="2"/>
      <c r="B130" s="2"/>
      <c r="C130" s="3"/>
      <c r="D130" s="3"/>
      <c r="E130" s="3"/>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row>
    <row r="131" spans="1:59" x14ac:dyDescent="0.25">
      <c r="A131" s="2"/>
      <c r="B131" s="2"/>
      <c r="C131" s="3"/>
      <c r="D131" s="3"/>
      <c r="E131" s="3"/>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row>
    <row r="132" spans="1:59" x14ac:dyDescent="0.25">
      <c r="A132" s="2"/>
      <c r="B132" s="2"/>
      <c r="C132" s="3"/>
      <c r="D132" s="3"/>
      <c r="E132" s="3"/>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row>
    <row r="133" spans="1:59" x14ac:dyDescent="0.25">
      <c r="A133" s="2"/>
      <c r="B133" s="2"/>
      <c r="C133" s="3"/>
      <c r="D133" s="3"/>
      <c r="E133" s="3"/>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row>
    <row r="134" spans="1:59" x14ac:dyDescent="0.25">
      <c r="A134" s="2"/>
      <c r="B134" s="2"/>
      <c r="C134" s="3"/>
      <c r="D134" s="3"/>
      <c r="E134" s="3"/>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row>
    <row r="135" spans="1:59" x14ac:dyDescent="0.25">
      <c r="A135" s="2"/>
      <c r="B135" s="2"/>
      <c r="C135" s="3"/>
      <c r="D135" s="3"/>
      <c r="E135" s="3"/>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row>
    <row r="136" spans="1:59" x14ac:dyDescent="0.25">
      <c r="A136" s="2"/>
      <c r="B136" s="2"/>
      <c r="C136" s="3"/>
      <c r="D136" s="3"/>
      <c r="E136" s="3"/>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row>
    <row r="137" spans="1:59" x14ac:dyDescent="0.25">
      <c r="A137" s="2"/>
      <c r="B137" s="2"/>
      <c r="C137" s="3"/>
      <c r="D137" s="3"/>
      <c r="E137" s="3"/>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row>
    <row r="138" spans="1:59" x14ac:dyDescent="0.25">
      <c r="A138" s="2"/>
      <c r="B138" s="2"/>
      <c r="C138" s="3"/>
      <c r="D138" s="3"/>
      <c r="E138" s="3"/>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row>
    <row r="139" spans="1:59" x14ac:dyDescent="0.25">
      <c r="A139" s="2"/>
      <c r="B139" s="2"/>
      <c r="C139" s="3"/>
      <c r="D139" s="3"/>
      <c r="E139" s="3"/>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row>
    <row r="140" spans="1:59" x14ac:dyDescent="0.25">
      <c r="A140" s="2"/>
      <c r="B140" s="2"/>
      <c r="C140" s="3"/>
      <c r="D140" s="3"/>
      <c r="E140" s="3"/>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row>
    <row r="141" spans="1:59" x14ac:dyDescent="0.25">
      <c r="A141" s="2"/>
      <c r="B141" s="2"/>
      <c r="C141" s="3"/>
      <c r="D141" s="3"/>
      <c r="E141" s="3"/>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row>
    <row r="142" spans="1:59" x14ac:dyDescent="0.25">
      <c r="A142" s="2"/>
      <c r="B142" s="2"/>
      <c r="C142" s="3"/>
      <c r="D142" s="3"/>
      <c r="E142" s="3"/>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row>
    <row r="143" spans="1:59" x14ac:dyDescent="0.25">
      <c r="A143" s="2"/>
      <c r="B143" s="2"/>
      <c r="C143" s="3"/>
      <c r="D143" s="3"/>
      <c r="E143" s="3"/>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row>
    <row r="144" spans="1:59" x14ac:dyDescent="0.25">
      <c r="A144" s="2"/>
      <c r="B144" s="2"/>
      <c r="C144" s="3"/>
      <c r="D144" s="3"/>
      <c r="E144" s="3"/>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x14ac:dyDescent="0.25">
      <c r="A145" s="2"/>
      <c r="B145" s="2"/>
      <c r="C145" s="3"/>
      <c r="D145" s="3"/>
      <c r="E145" s="3"/>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row>
    <row r="146" spans="1:59" x14ac:dyDescent="0.25">
      <c r="A146" s="2"/>
      <c r="B146" s="2"/>
      <c r="C146" s="3"/>
      <c r="D146" s="3"/>
      <c r="E146" s="3"/>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row>
    <row r="147" spans="1:59" x14ac:dyDescent="0.25">
      <c r="A147" s="2"/>
      <c r="B147" s="2"/>
      <c r="C147" s="3"/>
      <c r="D147" s="3"/>
      <c r="E147" s="3"/>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row>
    <row r="148" spans="1:59" x14ac:dyDescent="0.25">
      <c r="A148" s="2"/>
      <c r="B148" s="2"/>
      <c r="C148" s="3"/>
      <c r="D148" s="3"/>
      <c r="E148" s="3"/>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row>
    <row r="149" spans="1:59" x14ac:dyDescent="0.25">
      <c r="A149" s="2"/>
      <c r="B149" s="2"/>
      <c r="C149" s="3"/>
      <c r="D149" s="3"/>
      <c r="E149" s="3"/>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row>
    <row r="150" spans="1:59" x14ac:dyDescent="0.25">
      <c r="A150" s="2"/>
      <c r="B150" s="2"/>
      <c r="C150" s="3"/>
      <c r="D150" s="3"/>
      <c r="E150" s="3"/>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row>
    <row r="151" spans="1:59" x14ac:dyDescent="0.25">
      <c r="A151" s="2"/>
      <c r="B151" s="2"/>
      <c r="C151" s="3"/>
      <c r="D151" s="3"/>
      <c r="E151" s="3"/>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row>
    <row r="152" spans="1:59" x14ac:dyDescent="0.25">
      <c r="A152" s="2"/>
      <c r="B152" s="2"/>
      <c r="C152" s="3"/>
      <c r="D152" s="3"/>
      <c r="E152" s="3"/>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row>
    <row r="153" spans="1:59" x14ac:dyDescent="0.25">
      <c r="A153" s="2"/>
      <c r="B153" s="2"/>
      <c r="C153" s="3"/>
      <c r="D153" s="3"/>
      <c r="E153" s="3"/>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x14ac:dyDescent="0.25">
      <c r="A154" s="2"/>
      <c r="B154" s="2"/>
      <c r="C154" s="3"/>
      <c r="D154" s="3"/>
      <c r="E154" s="3"/>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x14ac:dyDescent="0.25">
      <c r="A155" s="2"/>
      <c r="B155" s="2"/>
      <c r="C155" s="3"/>
      <c r="D155" s="3"/>
      <c r="E155" s="3"/>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row>
    <row r="156" spans="1:59" x14ac:dyDescent="0.25">
      <c r="A156" s="2"/>
      <c r="B156" s="2"/>
      <c r="C156" s="3"/>
      <c r="D156" s="3"/>
      <c r="E156" s="3"/>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row>
    <row r="157" spans="1:59" x14ac:dyDescent="0.25">
      <c r="A157" s="2"/>
      <c r="B157" s="2"/>
      <c r="C157" s="3"/>
      <c r="D157" s="3"/>
      <c r="E157" s="3"/>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row>
    <row r="158" spans="1:59" x14ac:dyDescent="0.25">
      <c r="A158" s="2"/>
      <c r="B158" s="2"/>
      <c r="C158" s="3"/>
      <c r="D158" s="3"/>
      <c r="E158" s="3"/>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row>
    <row r="159" spans="1:59" x14ac:dyDescent="0.25">
      <c r="A159" s="2"/>
      <c r="B159" s="2"/>
      <c r="C159" s="3"/>
      <c r="D159" s="3"/>
      <c r="E159" s="3"/>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row>
    <row r="160" spans="1:59" x14ac:dyDescent="0.25">
      <c r="A160" s="2"/>
      <c r="B160" s="2"/>
      <c r="C160" s="3"/>
      <c r="D160" s="3"/>
      <c r="E160" s="3"/>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row>
    <row r="161" spans="1:59" x14ac:dyDescent="0.25">
      <c r="A161" s="2"/>
      <c r="B161" s="2"/>
      <c r="C161" s="3"/>
      <c r="D161" s="3"/>
      <c r="E161" s="3"/>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x14ac:dyDescent="0.25">
      <c r="A162" s="2"/>
      <c r="B162" s="2"/>
      <c r="C162" s="3"/>
      <c r="D162" s="3"/>
      <c r="E162" s="3"/>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row>
    <row r="163" spans="1:59" x14ac:dyDescent="0.25">
      <c r="A163" s="2"/>
      <c r="B163" s="2"/>
      <c r="C163" s="3"/>
      <c r="D163" s="3"/>
      <c r="E163" s="3"/>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x14ac:dyDescent="0.25">
      <c r="A164" s="2"/>
      <c r="B164" s="2"/>
      <c r="C164" s="3"/>
      <c r="D164" s="3"/>
      <c r="E164" s="3"/>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row>
    <row r="165" spans="1:59" x14ac:dyDescent="0.25">
      <c r="A165" s="2"/>
      <c r="B165" s="2"/>
      <c r="C165" s="3"/>
      <c r="D165" s="3"/>
      <c r="E165" s="3"/>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row>
    <row r="166" spans="1:59" x14ac:dyDescent="0.25">
      <c r="A166" s="2"/>
      <c r="B166" s="2"/>
      <c r="C166" s="3"/>
      <c r="D166" s="3"/>
      <c r="E166" s="3"/>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row>
    <row r="167" spans="1:59" x14ac:dyDescent="0.25">
      <c r="A167" s="2"/>
      <c r="B167" s="2"/>
      <c r="C167" s="3"/>
      <c r="D167" s="3"/>
      <c r="E167" s="3"/>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row>
    <row r="168" spans="1:59" x14ac:dyDescent="0.25">
      <c r="A168" s="2"/>
      <c r="B168" s="2"/>
      <c r="C168" s="3"/>
      <c r="D168" s="3"/>
      <c r="E168" s="3"/>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row>
    <row r="169" spans="1:59" x14ac:dyDescent="0.25">
      <c r="A169" s="2"/>
      <c r="B169" s="2"/>
      <c r="C169" s="3"/>
      <c r="D169" s="3"/>
      <c r="E169" s="3"/>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row>
    <row r="170" spans="1:59" x14ac:dyDescent="0.25">
      <c r="A170" s="2"/>
      <c r="B170" s="2"/>
      <c r="C170" s="3"/>
      <c r="D170" s="3"/>
      <c r="E170" s="3"/>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row>
    <row r="171" spans="1:59" x14ac:dyDescent="0.25">
      <c r="A171" s="2"/>
      <c r="B171" s="2"/>
      <c r="C171" s="3"/>
      <c r="D171" s="3"/>
      <c r="E171" s="3"/>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row>
    <row r="172" spans="1:59" x14ac:dyDescent="0.25">
      <c r="A172" s="2"/>
      <c r="B172" s="2"/>
      <c r="C172" s="3"/>
      <c r="D172" s="3"/>
      <c r="E172" s="3"/>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row>
    <row r="173" spans="1:59" x14ac:dyDescent="0.25">
      <c r="A173" s="2"/>
      <c r="B173" s="2"/>
      <c r="C173" s="3"/>
      <c r="D173" s="3"/>
      <c r="E173" s="3"/>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row>
    <row r="174" spans="1:59" x14ac:dyDescent="0.25">
      <c r="A174" s="2"/>
      <c r="B174" s="2"/>
      <c r="C174" s="3"/>
      <c r="D174" s="3"/>
      <c r="E174" s="3"/>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row>
    <row r="175" spans="1:59" x14ac:dyDescent="0.25">
      <c r="A175" s="2"/>
      <c r="B175" s="2"/>
      <c r="C175" s="3"/>
      <c r="D175" s="3"/>
      <c r="E175" s="3"/>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x14ac:dyDescent="0.25">
      <c r="A176" s="2"/>
      <c r="B176" s="2"/>
      <c r="C176" s="3"/>
      <c r="D176" s="3"/>
      <c r="E176" s="3"/>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59" x14ac:dyDescent="0.25">
      <c r="A177" s="2"/>
      <c r="B177" s="2"/>
      <c r="C177" s="3"/>
      <c r="D177" s="3"/>
      <c r="E177" s="3"/>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row>
    <row r="178" spans="1:59" x14ac:dyDescent="0.25">
      <c r="A178" s="2"/>
      <c r="B178" s="2"/>
      <c r="C178" s="3"/>
      <c r="D178" s="3"/>
      <c r="E178" s="3"/>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row>
    <row r="179" spans="1:59" x14ac:dyDescent="0.25">
      <c r="A179" s="2"/>
      <c r="B179" s="2"/>
      <c r="C179" s="3"/>
      <c r="D179" s="3"/>
      <c r="E179" s="3"/>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row>
    <row r="180" spans="1:59" x14ac:dyDescent="0.25">
      <c r="A180" s="2"/>
      <c r="B180" s="2"/>
      <c r="C180" s="3"/>
      <c r="D180" s="3"/>
      <c r="E180" s="3"/>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row>
    <row r="181" spans="1:59" x14ac:dyDescent="0.25">
      <c r="A181" s="2"/>
      <c r="B181" s="2"/>
      <c r="C181" s="3"/>
      <c r="D181" s="3"/>
      <c r="E181" s="3"/>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row>
    <row r="182" spans="1:59" x14ac:dyDescent="0.25">
      <c r="A182" s="2"/>
      <c r="B182" s="2"/>
      <c r="C182" s="3"/>
      <c r="D182" s="3"/>
      <c r="E182" s="3"/>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row>
    <row r="183" spans="1:59" x14ac:dyDescent="0.25">
      <c r="A183" s="2"/>
      <c r="B183" s="2"/>
      <c r="C183" s="3"/>
      <c r="D183" s="3"/>
      <c r="E183" s="3"/>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row>
    <row r="184" spans="1:59" x14ac:dyDescent="0.25">
      <c r="A184" s="2"/>
      <c r="B184" s="2"/>
      <c r="C184" s="3"/>
      <c r="D184" s="3"/>
      <c r="E184" s="3"/>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row>
    <row r="185" spans="1:59" x14ac:dyDescent="0.25">
      <c r="A185" s="2"/>
      <c r="B185" s="2"/>
      <c r="C185" s="3"/>
      <c r="D185" s="3"/>
      <c r="E185" s="3"/>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row>
    <row r="186" spans="1:59" x14ac:dyDescent="0.25">
      <c r="A186" s="2"/>
      <c r="B186" s="2"/>
      <c r="C186" s="3"/>
      <c r="D186" s="3"/>
      <c r="E186" s="3"/>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row>
    <row r="187" spans="1:59" x14ac:dyDescent="0.25">
      <c r="A187" s="2"/>
      <c r="B187" s="2"/>
      <c r="C187" s="3"/>
      <c r="D187" s="3"/>
      <c r="E187" s="3"/>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row>
    <row r="188" spans="1:59" x14ac:dyDescent="0.25">
      <c r="A188" s="2"/>
      <c r="B188" s="2"/>
      <c r="C188" s="3"/>
      <c r="D188" s="3"/>
      <c r="E188" s="3"/>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row>
    <row r="189" spans="1:59" x14ac:dyDescent="0.25">
      <c r="A189" s="2"/>
      <c r="B189" s="2"/>
      <c r="C189" s="3"/>
      <c r="D189" s="3"/>
      <c r="E189" s="3"/>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row>
    <row r="190" spans="1:59" x14ac:dyDescent="0.25">
      <c r="A190" s="2"/>
      <c r="B190" s="2"/>
      <c r="C190" s="3"/>
      <c r="D190" s="3"/>
      <c r="E190" s="3"/>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row>
    <row r="191" spans="1:59" x14ac:dyDescent="0.25">
      <c r="A191" s="2"/>
      <c r="B191" s="2"/>
      <c r="C191" s="3"/>
      <c r="D191" s="3"/>
      <c r="E191" s="3"/>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row>
    <row r="192" spans="1:59" x14ac:dyDescent="0.25">
      <c r="A192" s="2"/>
      <c r="B192" s="2"/>
      <c r="C192" s="3"/>
      <c r="D192" s="3"/>
      <c r="E192" s="3"/>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row>
    <row r="193" spans="1:59" x14ac:dyDescent="0.25">
      <c r="A193" s="2"/>
      <c r="B193" s="2"/>
      <c r="C193" s="3"/>
      <c r="D193" s="3"/>
      <c r="E193" s="3"/>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row>
    <row r="194" spans="1:59" x14ac:dyDescent="0.25">
      <c r="A194" s="2"/>
      <c r="B194" s="2"/>
      <c r="C194" s="3"/>
      <c r="D194" s="3"/>
      <c r="E194" s="3"/>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row>
    <row r="195" spans="1:59" x14ac:dyDescent="0.25">
      <c r="A195" s="2"/>
      <c r="B195" s="2"/>
      <c r="C195" s="3"/>
      <c r="D195" s="3"/>
      <c r="E195" s="3"/>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row>
    <row r="196" spans="1:59" x14ac:dyDescent="0.25">
      <c r="A196" s="2"/>
      <c r="B196" s="2"/>
      <c r="C196" s="3"/>
      <c r="D196" s="3"/>
      <c r="E196" s="3"/>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row>
    <row r="197" spans="1:59" x14ac:dyDescent="0.25">
      <c r="A197" s="2"/>
      <c r="B197" s="2"/>
      <c r="C197" s="3"/>
      <c r="D197" s="3"/>
      <c r="E197" s="3"/>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row>
    <row r="198" spans="1:59" x14ac:dyDescent="0.25">
      <c r="A198" s="2"/>
      <c r="B198" s="2"/>
      <c r="C198" s="3"/>
      <c r="D198" s="3"/>
      <c r="E198" s="3"/>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row>
    <row r="199" spans="1:59" x14ac:dyDescent="0.25">
      <c r="A199" s="2"/>
      <c r="B199" s="2"/>
      <c r="C199" s="3"/>
      <c r="D199" s="3"/>
      <c r="E199" s="3"/>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row>
    <row r="200" spans="1:59" x14ac:dyDescent="0.25">
      <c r="A200" s="2"/>
      <c r="B200" s="2"/>
      <c r="C200" s="3"/>
      <c r="D200" s="3"/>
      <c r="E200" s="3"/>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row>
    <row r="201" spans="1:59" x14ac:dyDescent="0.25">
      <c r="A201" s="2"/>
      <c r="B201" s="2"/>
      <c r="C201" s="3"/>
      <c r="D201" s="3"/>
      <c r="E201" s="3"/>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row>
    <row r="202" spans="1:59" x14ac:dyDescent="0.25">
      <c r="A202" s="2"/>
      <c r="B202" s="2"/>
      <c r="C202" s="3"/>
      <c r="D202" s="3"/>
      <c r="E202" s="3"/>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row>
    <row r="203" spans="1:59" x14ac:dyDescent="0.25">
      <c r="A203" s="2"/>
      <c r="B203" s="2"/>
      <c r="C203" s="3"/>
      <c r="D203" s="3"/>
      <c r="E203" s="3"/>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row>
    <row r="204" spans="1:59" x14ac:dyDescent="0.25">
      <c r="A204" s="2"/>
      <c r="B204" s="2"/>
      <c r="C204" s="3"/>
      <c r="D204" s="3"/>
      <c r="E204" s="3"/>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row>
    <row r="205" spans="1:59" x14ac:dyDescent="0.25">
      <c r="A205" s="2"/>
      <c r="B205" s="2"/>
      <c r="C205" s="3"/>
      <c r="D205" s="3"/>
      <c r="E205" s="3"/>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row>
    <row r="206" spans="1:59" x14ac:dyDescent="0.25">
      <c r="A206" s="2"/>
      <c r="B206" s="2"/>
      <c r="C206" s="3"/>
      <c r="D206" s="3"/>
      <c r="E206" s="3"/>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row>
    <row r="207" spans="1:59" x14ac:dyDescent="0.25">
      <c r="A207" s="2"/>
      <c r="B207" s="2"/>
      <c r="C207" s="3"/>
      <c r="D207" s="3"/>
      <c r="E207" s="3"/>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row>
    <row r="208" spans="1:59" x14ac:dyDescent="0.25">
      <c r="A208" s="2"/>
      <c r="B208" s="2"/>
      <c r="C208" s="3"/>
      <c r="D208" s="3"/>
      <c r="E208" s="3"/>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row>
    <row r="209" spans="1:59" x14ac:dyDescent="0.25">
      <c r="A209" s="2"/>
      <c r="B209" s="2"/>
      <c r="C209" s="3"/>
      <c r="D209" s="3"/>
      <c r="E209" s="3"/>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row>
    <row r="210" spans="1:59" x14ac:dyDescent="0.25">
      <c r="A210" s="2"/>
      <c r="B210" s="2"/>
      <c r="C210" s="3"/>
      <c r="D210" s="3"/>
      <c r="E210" s="3"/>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row>
    <row r="211" spans="1:59" x14ac:dyDescent="0.25">
      <c r="A211" s="2"/>
      <c r="B211" s="2"/>
      <c r="C211" s="3"/>
      <c r="D211" s="3"/>
      <c r="E211" s="3"/>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row>
    <row r="212" spans="1:59" x14ac:dyDescent="0.25">
      <c r="A212" s="2"/>
      <c r="B212" s="2"/>
      <c r="C212" s="3"/>
      <c r="D212" s="3"/>
      <c r="E212" s="3"/>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row>
    <row r="213" spans="1:59" x14ac:dyDescent="0.25">
      <c r="A213" s="2"/>
      <c r="B213" s="2"/>
      <c r="C213" s="3"/>
      <c r="D213" s="3"/>
      <c r="E213" s="3"/>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row>
    <row r="214" spans="1:59" x14ac:dyDescent="0.25">
      <c r="A214" s="2"/>
      <c r="B214" s="2"/>
      <c r="C214" s="3"/>
      <c r="D214" s="3"/>
      <c r="E214" s="3"/>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row>
    <row r="215" spans="1:59" x14ac:dyDescent="0.25">
      <c r="A215" s="2"/>
      <c r="B215" s="2"/>
      <c r="C215" s="3"/>
      <c r="D215" s="3"/>
      <c r="E215" s="3"/>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row>
    <row r="216" spans="1:59" x14ac:dyDescent="0.25">
      <c r="A216" s="2"/>
      <c r="B216" s="2"/>
      <c r="C216" s="3"/>
      <c r="D216" s="3"/>
      <c r="E216" s="3"/>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row>
    <row r="217" spans="1:59" x14ac:dyDescent="0.25">
      <c r="A217" s="2"/>
      <c r="B217" s="2"/>
      <c r="C217" s="3"/>
      <c r="D217" s="3"/>
      <c r="E217" s="3"/>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row>
    <row r="218" spans="1:59" x14ac:dyDescent="0.25">
      <c r="A218" s="2"/>
      <c r="B218" s="2"/>
      <c r="C218" s="3"/>
      <c r="D218" s="3"/>
      <c r="E218" s="3"/>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row>
    <row r="219" spans="1:59" x14ac:dyDescent="0.25">
      <c r="A219" s="2"/>
      <c r="B219" s="2"/>
      <c r="C219" s="3"/>
      <c r="D219" s="3"/>
      <c r="E219" s="3"/>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row>
    <row r="220" spans="1:59" x14ac:dyDescent="0.25">
      <c r="A220" s="2"/>
      <c r="B220" s="2"/>
      <c r="C220" s="3"/>
      <c r="D220" s="3"/>
      <c r="E220" s="3"/>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row>
    <row r="221" spans="1:59" x14ac:dyDescent="0.25">
      <c r="A221" s="2"/>
      <c r="B221" s="2"/>
      <c r="C221" s="3"/>
      <c r="D221" s="3"/>
      <c r="E221" s="3"/>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row>
    <row r="222" spans="1:59" x14ac:dyDescent="0.25">
      <c r="A222" s="2"/>
      <c r="B222" s="2"/>
      <c r="C222" s="3"/>
      <c r="D222" s="3"/>
      <c r="E222" s="3"/>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row>
  </sheetData>
  <mergeCells count="15">
    <mergeCell ref="A28:A102"/>
    <mergeCell ref="D77:Z84"/>
    <mergeCell ref="D86:Z98"/>
    <mergeCell ref="D100:Z102"/>
    <mergeCell ref="A5:A27"/>
    <mergeCell ref="B103:C103"/>
    <mergeCell ref="D4:O4"/>
    <mergeCell ref="P2:Z2"/>
    <mergeCell ref="D2:O2"/>
    <mergeCell ref="P4:Z4"/>
    <mergeCell ref="D6:Z6"/>
    <mergeCell ref="D25:Z27"/>
    <mergeCell ref="D41:Z41"/>
    <mergeCell ref="D53:Z56"/>
    <mergeCell ref="D71:Z7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E3DA-2A95-454B-BA2E-2348BF17CDBB}">
  <dimension ref="A1:Y49"/>
  <sheetViews>
    <sheetView zoomScale="70" zoomScaleNormal="70" workbookViewId="0">
      <selection activeCell="C8" sqref="C8"/>
    </sheetView>
  </sheetViews>
  <sheetFormatPr defaultColWidth="9.140625" defaultRowHeight="15" x14ac:dyDescent="0.25"/>
  <cols>
    <col min="1" max="1" width="17.85546875" style="1" customWidth="1"/>
    <col min="2" max="2" width="32.85546875" style="1" customWidth="1"/>
    <col min="3" max="3" width="11.5703125" style="1" bestFit="1" customWidth="1"/>
    <col min="4" max="16384" width="9.140625" style="1"/>
  </cols>
  <sheetData>
    <row r="1" spans="1:13" x14ac:dyDescent="0.25">
      <c r="A1" s="70" t="s">
        <v>329</v>
      </c>
      <c r="B1" s="68"/>
      <c r="C1" s="68"/>
      <c r="D1" s="68"/>
      <c r="E1" s="68"/>
      <c r="F1" s="68"/>
      <c r="G1" s="68"/>
      <c r="H1" s="68"/>
      <c r="I1" s="68"/>
    </row>
    <row r="2" spans="1:13" x14ac:dyDescent="0.25">
      <c r="A2" s="70" t="s">
        <v>351</v>
      </c>
      <c r="B2" s="68"/>
      <c r="C2" s="68"/>
      <c r="D2" s="68"/>
      <c r="E2" s="68"/>
      <c r="F2" s="68"/>
      <c r="G2" s="68"/>
      <c r="H2" s="68"/>
      <c r="I2" s="68"/>
    </row>
    <row r="3" spans="1:13" x14ac:dyDescent="0.25">
      <c r="C3" s="206" t="s">
        <v>273</v>
      </c>
      <c r="D3" s="206"/>
      <c r="E3" s="206"/>
      <c r="F3" s="206"/>
      <c r="G3" s="206"/>
      <c r="H3" s="206"/>
      <c r="I3" s="206"/>
      <c r="J3" s="206"/>
      <c r="K3" s="206"/>
      <c r="L3" s="206"/>
      <c r="M3" s="206"/>
    </row>
    <row r="4" spans="1:13" x14ac:dyDescent="0.25">
      <c r="A4" s="212" t="s">
        <v>274</v>
      </c>
      <c r="B4" s="212"/>
      <c r="C4" s="71">
        <v>2005</v>
      </c>
      <c r="D4" s="71">
        <v>2006</v>
      </c>
      <c r="E4" s="71">
        <v>2007</v>
      </c>
      <c r="F4" s="71">
        <v>2008</v>
      </c>
      <c r="G4" s="71">
        <v>2009</v>
      </c>
      <c r="H4" s="71">
        <v>2010</v>
      </c>
      <c r="I4" s="71">
        <v>2011</v>
      </c>
      <c r="J4" s="71">
        <v>2012</v>
      </c>
      <c r="K4" s="71">
        <v>2013</v>
      </c>
      <c r="L4" s="71">
        <v>2014</v>
      </c>
      <c r="M4" s="71">
        <v>2015</v>
      </c>
    </row>
    <row r="5" spans="1:13" x14ac:dyDescent="0.25">
      <c r="A5" s="72" t="s">
        <v>275</v>
      </c>
      <c r="B5" s="72" t="s">
        <v>276</v>
      </c>
      <c r="C5" s="206" t="s">
        <v>44</v>
      </c>
      <c r="D5" s="206"/>
      <c r="E5" s="206"/>
      <c r="F5" s="206"/>
      <c r="G5" s="206"/>
      <c r="H5" s="206"/>
      <c r="I5" s="206"/>
      <c r="J5" s="206"/>
      <c r="K5" s="206"/>
      <c r="L5" s="206"/>
      <c r="M5" s="206"/>
    </row>
    <row r="6" spans="1:13" x14ac:dyDescent="0.25">
      <c r="A6" s="36">
        <v>1</v>
      </c>
      <c r="B6" s="36" t="s">
        <v>277</v>
      </c>
      <c r="C6" s="73">
        <f>'1'!P12+'1'!P58</f>
        <v>100.76110257034267</v>
      </c>
      <c r="D6" s="73">
        <f>'1'!Q12+'1'!Q58</f>
        <v>114.50978255183193</v>
      </c>
      <c r="E6" s="73">
        <f>'1'!R12+'1'!R58</f>
        <v>145.54462647801384</v>
      </c>
      <c r="F6" s="73">
        <f>'1'!S12+'1'!S58</f>
        <v>153.5141654542345</v>
      </c>
      <c r="G6" s="73">
        <f>'1'!T12+'1'!T58</f>
        <v>176.46667569593848</v>
      </c>
      <c r="H6" s="73">
        <f>'1'!U12+'1'!U58</f>
        <v>194.10358740886485</v>
      </c>
      <c r="I6" s="73">
        <f>'1'!V12+'1'!V58</f>
        <v>200.16795148428434</v>
      </c>
      <c r="J6" s="73">
        <f>'1'!W12+'1'!W58</f>
        <v>214.0705853440007</v>
      </c>
      <c r="K6" s="73">
        <f>'1'!X12+'1'!X58</f>
        <v>215.41962851925669</v>
      </c>
      <c r="L6" s="73">
        <f>'1'!Y12+'1'!Y58</f>
        <v>223.50537735016906</v>
      </c>
      <c r="M6" s="73">
        <f>'1'!Z12+'1'!Z58</f>
        <v>202.55835062321555</v>
      </c>
    </row>
    <row r="7" spans="1:13" x14ac:dyDescent="0.25">
      <c r="A7" s="36">
        <v>2</v>
      </c>
      <c r="B7" s="36" t="s">
        <v>278</v>
      </c>
      <c r="C7" s="73">
        <f>'1'!P14+'1'!P38</f>
        <v>48.550746223721504</v>
      </c>
      <c r="D7" s="73">
        <f>'1'!Q14+'1'!Q38</f>
        <v>51.381721544703574</v>
      </c>
      <c r="E7" s="73">
        <f>'1'!R14+'1'!R38</f>
        <v>54.732760151682299</v>
      </c>
      <c r="F7" s="73">
        <f>'1'!S14+'1'!S38</f>
        <v>59.019758927726691</v>
      </c>
      <c r="G7" s="73">
        <f>'1'!T14+'1'!T38</f>
        <v>63.09342557974648</v>
      </c>
      <c r="H7" s="73">
        <f>'1'!U14+'1'!U38</f>
        <v>61.225642520764325</v>
      </c>
      <c r="I7" s="73">
        <f>'1'!V14+'1'!V38</f>
        <v>63.070833377961961</v>
      </c>
      <c r="J7" s="73">
        <f>'1'!W14+'1'!W38</f>
        <v>68.722758387237036</v>
      </c>
      <c r="K7" s="73">
        <f>'1'!X14+'1'!X38</f>
        <v>74.641985455564196</v>
      </c>
      <c r="L7" s="73">
        <f>'1'!Y14+'1'!Y38</f>
        <v>85.246073095886601</v>
      </c>
      <c r="M7" s="73">
        <f>'1'!Z14+'1'!Z38</f>
        <v>78.078823409016948</v>
      </c>
    </row>
    <row r="8" spans="1:13" x14ac:dyDescent="0.25">
      <c r="A8" s="36">
        <v>3</v>
      </c>
      <c r="B8" s="36" t="s">
        <v>279</v>
      </c>
      <c r="C8" s="73">
        <f>'1'!P59</f>
        <v>0</v>
      </c>
      <c r="D8" s="73">
        <f>'1'!Q59</f>
        <v>0</v>
      </c>
      <c r="E8" s="73">
        <f>'1'!R59</f>
        <v>0</v>
      </c>
      <c r="F8" s="73">
        <f>'1'!S59</f>
        <v>0</v>
      </c>
      <c r="G8" s="73">
        <f>'1'!T59</f>
        <v>0</v>
      </c>
      <c r="H8" s="73">
        <f>'1'!U59</f>
        <v>0</v>
      </c>
      <c r="I8" s="73">
        <f>'1'!V59</f>
        <v>0</v>
      </c>
      <c r="J8" s="73">
        <f>'1'!W59</f>
        <v>0</v>
      </c>
      <c r="K8" s="73">
        <f>'1'!X59</f>
        <v>0</v>
      </c>
      <c r="L8" s="73">
        <f>'1'!Y59</f>
        <v>0</v>
      </c>
      <c r="M8" s="73">
        <f>'1'!Z59</f>
        <v>0</v>
      </c>
    </row>
    <row r="9" spans="1:13" x14ac:dyDescent="0.25">
      <c r="A9" s="36">
        <v>4</v>
      </c>
      <c r="B9" s="74" t="s">
        <v>64</v>
      </c>
      <c r="C9" s="73">
        <f>'1'!P13+'1'!P60+'1'!P62+'1'!P63+'1'!P64</f>
        <v>22.967309668240876</v>
      </c>
      <c r="D9" s="73">
        <f>'1'!Q13+'1'!Q60+'1'!Q62+'1'!Q63+'1'!Q64</f>
        <v>28.665279711552031</v>
      </c>
      <c r="E9" s="73">
        <f>'1'!R13+'1'!R60+'1'!R62+'1'!R63+'1'!R64</f>
        <v>30.515739607987204</v>
      </c>
      <c r="F9" s="73">
        <f>'1'!S13+'1'!S60+'1'!S62+'1'!S63+'1'!S64</f>
        <v>31.943023367905607</v>
      </c>
      <c r="G9" s="73">
        <f>'1'!T13+'1'!T60+'1'!T62+'1'!T63+'1'!T64</f>
        <v>30.676227985798992</v>
      </c>
      <c r="H9" s="73">
        <f>'1'!U13+'1'!U60+'1'!U62+'1'!U63+'1'!U64</f>
        <v>35.083080096104332</v>
      </c>
      <c r="I9" s="73">
        <f>'1'!V13+'1'!V60+'1'!V62+'1'!V63+'1'!V64</f>
        <v>46.214755984332491</v>
      </c>
      <c r="J9" s="73">
        <f>'1'!W13+'1'!W60+'1'!W62+'1'!W63+'1'!W64</f>
        <v>52.170660979286176</v>
      </c>
      <c r="K9" s="73">
        <f>'1'!X13+'1'!X60+'1'!X62+'1'!X63+'1'!X64</f>
        <v>43.750067801429758</v>
      </c>
      <c r="L9" s="73">
        <f>'1'!Y13+'1'!Y60+'1'!Y62+'1'!Y63+'1'!Y64</f>
        <v>42.591205991522799</v>
      </c>
      <c r="M9" s="73">
        <f>'1'!Z13+'1'!Z60+'1'!Z62+'1'!Z63+'1'!Z64</f>
        <v>54.119122656790331</v>
      </c>
    </row>
    <row r="10" spans="1:13" x14ac:dyDescent="0.25">
      <c r="A10" s="36">
        <v>5</v>
      </c>
      <c r="B10" s="36" t="s">
        <v>280</v>
      </c>
      <c r="C10" s="73">
        <f>'1'!P17+'1'!P28</f>
        <v>104.28512196905319</v>
      </c>
      <c r="D10" s="73">
        <f>'1'!Q17+'1'!Q28</f>
        <v>113.33998273500893</v>
      </c>
      <c r="E10" s="73">
        <f>'1'!R17+'1'!R28</f>
        <v>124.46497838376112</v>
      </c>
      <c r="F10" s="73">
        <f>'1'!S17+'1'!S28</f>
        <v>134.29595466045583</v>
      </c>
      <c r="G10" s="73">
        <f>'1'!T17+'1'!T28</f>
        <v>147.46856235585085</v>
      </c>
      <c r="H10" s="73">
        <f>'1'!U17+'1'!U28</f>
        <v>160.36439632998221</v>
      </c>
      <c r="I10" s="73">
        <f>'1'!V17+'1'!V28</f>
        <v>166.69665525573552</v>
      </c>
      <c r="J10" s="73">
        <f>'1'!W17+'1'!W28</f>
        <v>175.75641602648258</v>
      </c>
      <c r="K10" s="73">
        <f>'1'!X17+'1'!X28</f>
        <v>185.50220836641836</v>
      </c>
      <c r="L10" s="73">
        <f>'1'!Y17+'1'!Y28</f>
        <v>200.60278228935957</v>
      </c>
      <c r="M10" s="73">
        <f>'1'!Z17+'1'!Z28</f>
        <v>190.09903346065568</v>
      </c>
    </row>
    <row r="11" spans="1:13" x14ac:dyDescent="0.25">
      <c r="A11" s="36">
        <v>6</v>
      </c>
      <c r="B11" s="36" t="s">
        <v>281</v>
      </c>
      <c r="C11" s="73">
        <f>'1'!P65</f>
        <v>1.2565337996895354</v>
      </c>
      <c r="D11" s="73">
        <f>'1'!Q65</f>
        <v>1.1194639194139502</v>
      </c>
      <c r="E11" s="73">
        <f>'1'!R65</f>
        <v>1.2896315827582394</v>
      </c>
      <c r="F11" s="73">
        <f>'1'!S65</f>
        <v>0.88681651448855991</v>
      </c>
      <c r="G11" s="73">
        <f>'1'!T65</f>
        <v>0.89180785263065043</v>
      </c>
      <c r="H11" s="73">
        <f>'1'!U65</f>
        <v>1.9118328814245182</v>
      </c>
      <c r="I11" s="73">
        <f>'1'!V65</f>
        <v>2.3910668297765065</v>
      </c>
      <c r="J11" s="73">
        <f>'1'!W65</f>
        <v>2.3296481297215186</v>
      </c>
      <c r="K11" s="73">
        <f>'1'!X65</f>
        <v>1.9572412911287398</v>
      </c>
      <c r="L11" s="73">
        <f>'1'!Y65</f>
        <v>3.707874527165977</v>
      </c>
      <c r="M11" s="73">
        <f>'1'!Z65</f>
        <v>2.6208744969495945</v>
      </c>
    </row>
    <row r="12" spans="1:13" x14ac:dyDescent="0.25">
      <c r="A12" s="36">
        <v>7</v>
      </c>
      <c r="B12" s="36" t="s">
        <v>282</v>
      </c>
      <c r="C12" s="73">
        <f>'1'!P7+'1'!P9+'1'!P10</f>
        <v>30.296462706495774</v>
      </c>
      <c r="D12" s="73">
        <f>'1'!Q7+'1'!Q9+'1'!Q10</f>
        <v>33.993417540226901</v>
      </c>
      <c r="E12" s="73">
        <f>'1'!R7+'1'!R9+'1'!R10</f>
        <v>36.27324125643954</v>
      </c>
      <c r="F12" s="73">
        <f>'1'!S7+'1'!S9+'1'!S10</f>
        <v>40.17595458019364</v>
      </c>
      <c r="G12" s="73">
        <f>'1'!T7+'1'!T9+'1'!T10</f>
        <v>46.119019484421038</v>
      </c>
      <c r="H12" s="73">
        <f>'1'!U7+'1'!U9+'1'!U10</f>
        <v>48.877676393082623</v>
      </c>
      <c r="I12" s="73">
        <f>'1'!V7+'1'!V9+'1'!V10</f>
        <v>51.309538161781134</v>
      </c>
      <c r="J12" s="73">
        <f>'1'!W7+'1'!W9+'1'!W10</f>
        <v>51.64893990662997</v>
      </c>
      <c r="K12" s="73">
        <f>'1'!X7+'1'!X9+'1'!X10</f>
        <v>52.139745971023913</v>
      </c>
      <c r="L12" s="73">
        <f>'1'!Y7+'1'!Y9+'1'!Y10</f>
        <v>56.656140905886787</v>
      </c>
      <c r="M12" s="73">
        <f>'1'!Z7+'1'!Z9+'1'!Z10</f>
        <v>61.183840849890856</v>
      </c>
    </row>
    <row r="13" spans="1:13" x14ac:dyDescent="0.25">
      <c r="A13" s="36">
        <v>8</v>
      </c>
      <c r="B13" s="36" t="s">
        <v>283</v>
      </c>
      <c r="C13" s="73">
        <f>'1'!P20</f>
        <v>2.386335501408577E-2</v>
      </c>
      <c r="D13" s="73">
        <f>'1'!Q20</f>
        <v>1.4469538493871689E-2</v>
      </c>
      <c r="E13" s="73">
        <f>'1'!R20</f>
        <v>9.6024044442176836E-3</v>
      </c>
      <c r="F13" s="73">
        <f>'1'!S20</f>
        <v>1.5615874267518521E-2</v>
      </c>
      <c r="G13" s="73">
        <f>'1'!T20</f>
        <v>5.0283980031192298E-2</v>
      </c>
      <c r="H13" s="73">
        <f>'1'!U20</f>
        <v>5.9260233675736934E-2</v>
      </c>
      <c r="I13" s="73">
        <f>'1'!V20</f>
        <v>6.3887283422418409E-2</v>
      </c>
      <c r="J13" s="73">
        <f>'1'!W20</f>
        <v>5.0607011067145977E-2</v>
      </c>
      <c r="K13" s="73">
        <f>'1'!X20</f>
        <v>3.8479618706226348E-2</v>
      </c>
      <c r="L13" s="73">
        <f>'1'!Y20</f>
        <v>0.10275639109802247</v>
      </c>
      <c r="M13" s="73">
        <f>'1'!Z20</f>
        <v>7.877617975735339E-2</v>
      </c>
    </row>
    <row r="14" spans="1:13" x14ac:dyDescent="0.25">
      <c r="A14" s="36">
        <v>9</v>
      </c>
      <c r="B14" s="36" t="s">
        <v>84</v>
      </c>
      <c r="C14" s="73">
        <f>'1'!P23</f>
        <v>8.4824685555088024</v>
      </c>
      <c r="D14" s="73">
        <f>'1'!Q23</f>
        <v>9.1893931576435079</v>
      </c>
      <c r="E14" s="73">
        <f>'1'!R23</f>
        <v>9.5711165783843128</v>
      </c>
      <c r="F14" s="73">
        <f>'1'!S23</f>
        <v>11.893231970467976</v>
      </c>
      <c r="G14" s="73">
        <f>'1'!T23</f>
        <v>12.686975679603863</v>
      </c>
      <c r="H14" s="73">
        <f>'1'!U23</f>
        <v>13.159652199132543</v>
      </c>
      <c r="I14" s="73">
        <f>'1'!V23</f>
        <v>13.483579881113577</v>
      </c>
      <c r="J14" s="73">
        <f>'1'!W23</f>
        <v>15.806558596892536</v>
      </c>
      <c r="K14" s="73">
        <f>'1'!X23</f>
        <v>15.291039146127758</v>
      </c>
      <c r="L14" s="73">
        <f>'1'!Y23</f>
        <v>17.484182755857542</v>
      </c>
      <c r="M14" s="73">
        <f>'1'!Z23</f>
        <v>16.537209523961529</v>
      </c>
    </row>
    <row r="15" spans="1:13" x14ac:dyDescent="0.25">
      <c r="A15" s="36">
        <v>10</v>
      </c>
      <c r="B15" s="36" t="s">
        <v>284</v>
      </c>
      <c r="C15" s="73">
        <f>'1'!P16</f>
        <v>7.3311581715136542</v>
      </c>
      <c r="D15" s="73">
        <f>'1'!Q16</f>
        <v>7.6417863838539954</v>
      </c>
      <c r="E15" s="73">
        <f>'1'!R16</f>
        <v>6.8262385526655835</v>
      </c>
      <c r="F15" s="73">
        <f>'1'!S16</f>
        <v>8.39270965856951</v>
      </c>
      <c r="G15" s="73">
        <f>'1'!T16</f>
        <v>10.921858927866952</v>
      </c>
      <c r="H15" s="73">
        <f>'1'!U16</f>
        <v>9.4063011348353118</v>
      </c>
      <c r="I15" s="73">
        <f>'1'!V16</f>
        <v>8.6465199436096842</v>
      </c>
      <c r="J15" s="73">
        <f>'1'!W16</f>
        <v>9.620505973779375</v>
      </c>
      <c r="K15" s="73">
        <f>'1'!X16</f>
        <v>9.9425301025320056</v>
      </c>
      <c r="L15" s="73">
        <f>'1'!Y16</f>
        <v>11.779378286364921</v>
      </c>
      <c r="M15" s="73">
        <f>'1'!Z16</f>
        <v>9.4922253251962516</v>
      </c>
    </row>
    <row r="16" spans="1:13" x14ac:dyDescent="0.25">
      <c r="A16" s="36">
        <v>11</v>
      </c>
      <c r="B16" s="36" t="s">
        <v>285</v>
      </c>
      <c r="C16" s="73">
        <f>'1'!P15</f>
        <v>9.9127593328446739</v>
      </c>
      <c r="D16" s="73">
        <f>'1'!Q15</f>
        <v>9.8108648334119799</v>
      </c>
      <c r="E16" s="73">
        <f>'1'!R15</f>
        <v>10.043828328319144</v>
      </c>
      <c r="F16" s="73">
        <f>'1'!S15</f>
        <v>10.037991173995234</v>
      </c>
      <c r="G16" s="73">
        <f>'1'!T15</f>
        <v>10.022641374413359</v>
      </c>
      <c r="H16" s="73">
        <f>'1'!U15</f>
        <v>10.824716333750267</v>
      </c>
      <c r="I16" s="73">
        <f>'1'!V15</f>
        <v>10.938736990297006</v>
      </c>
      <c r="J16" s="73">
        <f>'1'!W15</f>
        <v>12.226019027859477</v>
      </c>
      <c r="K16" s="73">
        <f>'1'!X15</f>
        <v>13.538149748900874</v>
      </c>
      <c r="L16" s="73">
        <f>'1'!Y15</f>
        <v>14.523066467658946</v>
      </c>
      <c r="M16" s="73">
        <f>'1'!Z15</f>
        <v>12.635052731530926</v>
      </c>
    </row>
    <row r="17" spans="1:25" x14ac:dyDescent="0.25">
      <c r="A17" s="36">
        <v>12</v>
      </c>
      <c r="B17" s="36" t="s">
        <v>74</v>
      </c>
      <c r="C17" s="73">
        <f>'1'!P18</f>
        <v>1.513745747483179</v>
      </c>
      <c r="D17" s="73">
        <f>'1'!Q18</f>
        <v>1.4969076155458725</v>
      </c>
      <c r="E17" s="73">
        <f>'1'!R18</f>
        <v>1.7314490285341613</v>
      </c>
      <c r="F17" s="73">
        <f>'1'!S18</f>
        <v>1.8717879981022956</v>
      </c>
      <c r="G17" s="73">
        <f>'1'!T18</f>
        <v>2.2416337745094741</v>
      </c>
      <c r="H17" s="73">
        <f>'1'!U18</f>
        <v>2.4401362114053358</v>
      </c>
      <c r="I17" s="73">
        <f>'1'!V18</f>
        <v>2.6593257238436272</v>
      </c>
      <c r="J17" s="73">
        <f>'1'!W18</f>
        <v>3.7090095701043411</v>
      </c>
      <c r="K17" s="73">
        <f>'1'!X18</f>
        <v>2.9205422407030754</v>
      </c>
      <c r="L17" s="73">
        <f>'1'!Y18</f>
        <v>2.5979084698153385</v>
      </c>
      <c r="M17" s="73">
        <f>'1'!Z18</f>
        <v>2.0003229402416745</v>
      </c>
    </row>
    <row r="18" spans="1:25" x14ac:dyDescent="0.25">
      <c r="A18" s="36">
        <v>13</v>
      </c>
      <c r="B18" s="36" t="s">
        <v>286</v>
      </c>
      <c r="C18" s="73">
        <f>'1'!P21</f>
        <v>0.1605967771348506</v>
      </c>
      <c r="D18" s="73">
        <f>'1'!Q21</f>
        <v>0.17703056688573213</v>
      </c>
      <c r="E18" s="73">
        <f>'1'!R21</f>
        <v>0.11973001424755528</v>
      </c>
      <c r="F18" s="73">
        <f>'1'!S21</f>
        <v>0.194174064463906</v>
      </c>
      <c r="G18" s="73">
        <f>'1'!T21</f>
        <v>0.26321490719668195</v>
      </c>
      <c r="H18" s="73">
        <f>'1'!U21</f>
        <v>0.25572428512966888</v>
      </c>
      <c r="I18" s="73">
        <f>'1'!V21</f>
        <v>0.2267430579533859</v>
      </c>
      <c r="J18" s="73">
        <f>'1'!W21</f>
        <v>0.33226422504754644</v>
      </c>
      <c r="K18" s="73">
        <f>'1'!X21</f>
        <v>0.26858256834667693</v>
      </c>
      <c r="L18" s="73">
        <f>'1'!Y21</f>
        <v>0.22101212462374978</v>
      </c>
      <c r="M18" s="73">
        <f>'1'!Z21</f>
        <v>0.18192867772993926</v>
      </c>
    </row>
    <row r="19" spans="1:25" x14ac:dyDescent="0.25">
      <c r="A19" s="36">
        <v>14</v>
      </c>
      <c r="B19" s="36" t="s">
        <v>82</v>
      </c>
      <c r="C19" s="73">
        <f>'1'!P22</f>
        <v>0</v>
      </c>
      <c r="D19" s="73">
        <f>'1'!Q22</f>
        <v>0</v>
      </c>
      <c r="E19" s="73">
        <f>'1'!R22</f>
        <v>3.9583933639526363E-4</v>
      </c>
      <c r="F19" s="73">
        <f>'1'!S22</f>
        <v>0.55736291949580608</v>
      </c>
      <c r="G19" s="73">
        <f>'1'!T22</f>
        <v>0.18705580566318333</v>
      </c>
      <c r="H19" s="73">
        <f>'1'!U22</f>
        <v>4.3738265991210938E-4</v>
      </c>
      <c r="I19" s="73">
        <f>'1'!V22</f>
        <v>0</v>
      </c>
      <c r="J19" s="73">
        <f>'1'!W22</f>
        <v>6.9224510968300167E-3</v>
      </c>
      <c r="K19" s="73">
        <f>'1'!X22</f>
        <v>2.3076497276625016E-3</v>
      </c>
      <c r="L19" s="73">
        <f>'1'!Y22</f>
        <v>8.216394984477432E-3</v>
      </c>
      <c r="M19" s="73">
        <f>'1'!Z22</f>
        <v>2.7599843848347665E-3</v>
      </c>
    </row>
    <row r="20" spans="1:25" x14ac:dyDescent="0.25">
      <c r="A20" s="36">
        <v>15</v>
      </c>
      <c r="B20" s="36" t="s">
        <v>76</v>
      </c>
      <c r="C20" s="73">
        <f>'1'!P19</f>
        <v>4.1797044055993968</v>
      </c>
      <c r="D20" s="73">
        <f>'1'!Q19</f>
        <v>5.4963953586766801</v>
      </c>
      <c r="E20" s="73">
        <f>'1'!R19</f>
        <v>4.906015119071764</v>
      </c>
      <c r="F20" s="73">
        <f>'1'!S19</f>
        <v>4.9474539418506049</v>
      </c>
      <c r="G20" s="73">
        <f>'1'!T19</f>
        <v>8.6658777589664577</v>
      </c>
      <c r="H20" s="73">
        <f>'1'!U19</f>
        <v>5.1685393891804559</v>
      </c>
      <c r="I20" s="73">
        <f>'1'!V19</f>
        <v>4.0097886362373396</v>
      </c>
      <c r="J20" s="73">
        <f>'1'!W19</f>
        <v>9.435337004706394</v>
      </c>
      <c r="K20" s="73">
        <f>'1'!X19</f>
        <v>9.4429821918599082</v>
      </c>
      <c r="L20" s="73">
        <f>'1'!Y19</f>
        <v>4.6069659714082301</v>
      </c>
      <c r="M20" s="73">
        <f>'1'!Z19</f>
        <v>2.9217699517389772</v>
      </c>
    </row>
    <row r="21" spans="1:25" x14ac:dyDescent="0.25">
      <c r="A21" s="36">
        <v>16</v>
      </c>
      <c r="B21" s="36" t="s">
        <v>287</v>
      </c>
      <c r="C21" s="73">
        <f>'1'!P24</f>
        <v>0.78405749645140521</v>
      </c>
      <c r="D21" s="73">
        <f>'1'!Q24</f>
        <v>0.68150659507124833</v>
      </c>
      <c r="E21" s="73">
        <f>'1'!R24</f>
        <v>0.74420797293468266</v>
      </c>
      <c r="F21" s="73">
        <f>'1'!S24</f>
        <v>0.94617615295689461</v>
      </c>
      <c r="G21" s="73">
        <f>'1'!T24</f>
        <v>1.7914780688061704</v>
      </c>
      <c r="H21" s="73">
        <f>'1'!U24</f>
        <v>1.7375904876491222</v>
      </c>
      <c r="I21" s="73">
        <f>'1'!V24</f>
        <v>1.9760158524800835</v>
      </c>
      <c r="J21" s="73">
        <f>'1'!W24</f>
        <v>2.9302809167974693</v>
      </c>
      <c r="K21" s="73">
        <f>'1'!X24</f>
        <v>2.6435791241669677</v>
      </c>
      <c r="L21" s="73">
        <f>'1'!Y24</f>
        <v>3.1886914790061991</v>
      </c>
      <c r="M21" s="73">
        <f>'1'!Z24</f>
        <v>2.76114921524153</v>
      </c>
    </row>
    <row r="22" spans="1:25" x14ac:dyDescent="0.25">
      <c r="A22" s="213" t="s">
        <v>288</v>
      </c>
      <c r="B22" s="213"/>
      <c r="C22" s="75">
        <f t="shared" ref="C22:J22" si="0">SUM(C6:C21)</f>
        <v>340.50563077909374</v>
      </c>
      <c r="D22" s="75">
        <f t="shared" si="0"/>
        <v>377.51800205232013</v>
      </c>
      <c r="E22" s="75">
        <f t="shared" si="0"/>
        <v>426.77356129858003</v>
      </c>
      <c r="F22" s="75">
        <f t="shared" si="0"/>
        <v>458.69217725917451</v>
      </c>
      <c r="G22" s="75">
        <f t="shared" si="0"/>
        <v>511.54673923144378</v>
      </c>
      <c r="H22" s="75">
        <f t="shared" si="0"/>
        <v>544.6185732876412</v>
      </c>
      <c r="I22" s="75">
        <f t="shared" si="0"/>
        <v>571.85539846282893</v>
      </c>
      <c r="J22" s="75">
        <f t="shared" si="0"/>
        <v>618.81651355070892</v>
      </c>
      <c r="K22" s="75">
        <f t="shared" ref="K22:M22" si="1">SUM(K6:K21)</f>
        <v>627.49906979589275</v>
      </c>
      <c r="L22" s="75">
        <f t="shared" si="1"/>
        <v>666.82163250080828</v>
      </c>
      <c r="M22" s="75">
        <f t="shared" si="1"/>
        <v>635.27124002630205</v>
      </c>
    </row>
    <row r="27" spans="1:25" x14ac:dyDescent="0.25">
      <c r="A27" s="70" t="s">
        <v>328</v>
      </c>
      <c r="B27" s="68"/>
      <c r="C27" s="68"/>
      <c r="D27" s="68"/>
      <c r="E27" s="68"/>
      <c r="F27" s="68"/>
      <c r="G27" s="68"/>
    </row>
    <row r="28" spans="1:25" x14ac:dyDescent="0.25">
      <c r="A28" s="78"/>
      <c r="B28" s="78"/>
      <c r="C28" s="207" t="s">
        <v>323</v>
      </c>
      <c r="D28" s="208"/>
      <c r="E28" s="208"/>
      <c r="F28" s="208"/>
      <c r="G28" s="208"/>
      <c r="H28" s="208"/>
      <c r="I28" s="208"/>
      <c r="J28" s="208"/>
      <c r="K28" s="208"/>
      <c r="L28" s="208"/>
      <c r="M28" s="209"/>
    </row>
    <row r="29" spans="1:25" x14ac:dyDescent="0.25">
      <c r="A29" s="78"/>
      <c r="B29" s="78"/>
      <c r="C29" s="77">
        <v>2005</v>
      </c>
      <c r="D29" s="77">
        <v>2006</v>
      </c>
      <c r="E29" s="77">
        <v>2007</v>
      </c>
      <c r="F29" s="77">
        <v>2008</v>
      </c>
      <c r="G29" s="77">
        <v>2009</v>
      </c>
      <c r="H29" s="77">
        <v>2010</v>
      </c>
      <c r="I29" s="77">
        <v>2011</v>
      </c>
      <c r="J29" s="77">
        <v>2012</v>
      </c>
      <c r="K29" s="77">
        <v>2013</v>
      </c>
      <c r="L29" s="77">
        <v>2014</v>
      </c>
      <c r="M29" s="77">
        <v>2015</v>
      </c>
    </row>
    <row r="30" spans="1:25" x14ac:dyDescent="0.25">
      <c r="A30" s="72" t="s">
        <v>275</v>
      </c>
      <c r="B30" s="72" t="s">
        <v>276</v>
      </c>
      <c r="C30" s="207" t="s">
        <v>44</v>
      </c>
      <c r="D30" s="208"/>
      <c r="E30" s="208"/>
      <c r="F30" s="208"/>
      <c r="G30" s="208"/>
      <c r="H30" s="208"/>
      <c r="I30" s="208"/>
      <c r="J30" s="208"/>
      <c r="K30" s="208"/>
      <c r="L30" s="208"/>
      <c r="M30" s="209"/>
    </row>
    <row r="31" spans="1:25" x14ac:dyDescent="0.25">
      <c r="A31" s="36">
        <v>1</v>
      </c>
      <c r="B31" s="36" t="s">
        <v>277</v>
      </c>
      <c r="C31" s="73">
        <v>14.753695347793609</v>
      </c>
      <c r="D31" s="73">
        <v>18.035054929292574</v>
      </c>
      <c r="E31" s="73">
        <v>16.991510619493173</v>
      </c>
      <c r="F31" s="73">
        <v>18.698781871757507</v>
      </c>
      <c r="G31" s="73">
        <v>22.563458008165682</v>
      </c>
      <c r="H31" s="73">
        <v>15.181697860117984</v>
      </c>
      <c r="I31" s="73">
        <v>15.559731783208846</v>
      </c>
      <c r="J31" s="73">
        <v>19.991686087152875</v>
      </c>
      <c r="K31" s="73">
        <v>20.405314639460794</v>
      </c>
      <c r="L31" s="73">
        <v>25.597237280495712</v>
      </c>
      <c r="M31" s="73">
        <v>26.913633161763421</v>
      </c>
      <c r="O31" s="184"/>
      <c r="P31" s="184"/>
      <c r="Q31" s="184"/>
      <c r="R31" s="184"/>
      <c r="S31" s="184"/>
      <c r="T31" s="184"/>
      <c r="U31" s="184"/>
      <c r="V31" s="184"/>
      <c r="W31" s="184"/>
      <c r="X31" s="184"/>
      <c r="Y31" s="184"/>
    </row>
    <row r="32" spans="1:25" x14ac:dyDescent="0.25">
      <c r="A32" s="36">
        <v>2</v>
      </c>
      <c r="B32" s="36" t="s">
        <v>278</v>
      </c>
      <c r="C32" s="73">
        <v>11.023636289413929</v>
      </c>
      <c r="D32" s="73">
        <v>12.978713321709245</v>
      </c>
      <c r="E32" s="73">
        <v>10.625032322216809</v>
      </c>
      <c r="F32" s="73">
        <v>10.420715963786513</v>
      </c>
      <c r="G32" s="73">
        <v>10.341374726776593</v>
      </c>
      <c r="H32" s="73">
        <v>10.412521723934807</v>
      </c>
      <c r="I32" s="73">
        <v>10.090271273762978</v>
      </c>
      <c r="J32" s="73">
        <v>5.3852644303584025</v>
      </c>
      <c r="K32" s="73">
        <v>6.4884739186975953</v>
      </c>
      <c r="L32" s="73">
        <v>8.7061222963457698</v>
      </c>
      <c r="M32" s="73">
        <v>6.6347937306847573</v>
      </c>
      <c r="O32" s="184"/>
      <c r="P32" s="184"/>
      <c r="Q32" s="184"/>
      <c r="R32" s="184"/>
      <c r="S32" s="184"/>
      <c r="T32" s="184"/>
      <c r="U32" s="184"/>
      <c r="V32" s="184"/>
      <c r="W32" s="184"/>
      <c r="X32" s="184"/>
      <c r="Y32" s="184"/>
    </row>
    <row r="33" spans="1:25" x14ac:dyDescent="0.25">
      <c r="A33" s="36">
        <v>3</v>
      </c>
      <c r="B33" s="36" t="s">
        <v>279</v>
      </c>
      <c r="C33" s="76" t="s">
        <v>324</v>
      </c>
      <c r="D33" s="76" t="s">
        <v>324</v>
      </c>
      <c r="E33" s="76" t="s">
        <v>324</v>
      </c>
      <c r="F33" s="76" t="s">
        <v>324</v>
      </c>
      <c r="G33" s="76" t="s">
        <v>324</v>
      </c>
      <c r="H33" s="76" t="s">
        <v>324</v>
      </c>
      <c r="I33" s="76" t="s">
        <v>324</v>
      </c>
      <c r="J33" s="76" t="s">
        <v>324</v>
      </c>
      <c r="K33" s="76" t="s">
        <v>324</v>
      </c>
      <c r="L33" s="76" t="s">
        <v>324</v>
      </c>
      <c r="M33" s="76" t="s">
        <v>324</v>
      </c>
      <c r="O33" s="184"/>
      <c r="P33" s="184"/>
      <c r="Q33" s="184"/>
      <c r="R33" s="184"/>
      <c r="S33" s="184"/>
      <c r="T33" s="184"/>
      <c r="U33" s="184"/>
      <c r="V33" s="184"/>
      <c r="W33" s="184"/>
      <c r="X33" s="184"/>
      <c r="Y33" s="184"/>
    </row>
    <row r="34" spans="1:25" x14ac:dyDescent="0.25">
      <c r="A34" s="36">
        <v>4</v>
      </c>
      <c r="B34" s="74" t="s">
        <v>64</v>
      </c>
      <c r="C34" s="73">
        <v>10.010523962771238</v>
      </c>
      <c r="D34" s="73">
        <v>15.73433210821478</v>
      </c>
      <c r="E34" s="73">
        <v>14.384441487924269</v>
      </c>
      <c r="F34" s="73">
        <v>13.326459010113203</v>
      </c>
      <c r="G34" s="73">
        <v>14.604158242989657</v>
      </c>
      <c r="H34" s="73">
        <v>10.556698959267463</v>
      </c>
      <c r="I34" s="73">
        <v>12.208532450130798</v>
      </c>
      <c r="J34" s="73">
        <v>5.0420029315698969</v>
      </c>
      <c r="K34" s="73">
        <v>5.0395081593688946</v>
      </c>
      <c r="L34" s="73">
        <v>5.2216675566103499</v>
      </c>
      <c r="M34" s="73">
        <v>1.8585560250862501</v>
      </c>
      <c r="O34" s="184"/>
      <c r="P34" s="184"/>
      <c r="Q34" s="184"/>
      <c r="R34" s="184"/>
      <c r="S34" s="184"/>
      <c r="T34" s="184"/>
      <c r="U34" s="184"/>
      <c r="V34" s="184"/>
      <c r="W34" s="184"/>
      <c r="X34" s="184"/>
      <c r="Y34" s="184"/>
    </row>
    <row r="35" spans="1:25" x14ac:dyDescent="0.25">
      <c r="A35" s="36">
        <v>5</v>
      </c>
      <c r="B35" s="36" t="s">
        <v>280</v>
      </c>
      <c r="C35" s="73">
        <v>5.7385155496860296</v>
      </c>
      <c r="D35" s="73">
        <v>7.9373351420946046</v>
      </c>
      <c r="E35" s="73">
        <v>8.2886377851261717</v>
      </c>
      <c r="F35" s="73">
        <v>7.8811491490020824</v>
      </c>
      <c r="G35" s="73">
        <v>9.9263987091488683</v>
      </c>
      <c r="H35" s="73">
        <v>10.592626904406146</v>
      </c>
      <c r="I35" s="73">
        <v>12.856371955073886</v>
      </c>
      <c r="J35" s="73">
        <v>12.526524777846745</v>
      </c>
      <c r="K35" s="73">
        <v>8.954878180048377</v>
      </c>
      <c r="L35" s="73">
        <v>11.960440142717738</v>
      </c>
      <c r="M35" s="73">
        <v>10.978414015961793</v>
      </c>
      <c r="O35" s="184"/>
      <c r="P35" s="184"/>
      <c r="Q35" s="184"/>
      <c r="R35" s="184"/>
      <c r="S35" s="184"/>
      <c r="T35" s="184"/>
      <c r="U35" s="184"/>
      <c r="V35" s="184"/>
      <c r="W35" s="184"/>
      <c r="X35" s="184"/>
      <c r="Y35" s="184"/>
    </row>
    <row r="36" spans="1:25" x14ac:dyDescent="0.25">
      <c r="A36" s="36">
        <v>6</v>
      </c>
      <c r="B36" s="36" t="s">
        <v>281</v>
      </c>
      <c r="C36" s="73">
        <v>0</v>
      </c>
      <c r="D36" s="73">
        <v>0</v>
      </c>
      <c r="E36" s="73">
        <v>0</v>
      </c>
      <c r="F36" s="73">
        <v>0</v>
      </c>
      <c r="G36" s="73">
        <v>0</v>
      </c>
      <c r="H36" s="73">
        <v>0</v>
      </c>
      <c r="I36" s="73">
        <v>0</v>
      </c>
      <c r="J36" s="73">
        <v>0</v>
      </c>
      <c r="K36" s="73">
        <v>0</v>
      </c>
      <c r="L36" s="73">
        <v>0</v>
      </c>
      <c r="M36" s="73">
        <v>0</v>
      </c>
      <c r="O36" s="184"/>
      <c r="P36" s="184"/>
      <c r="Q36" s="184"/>
      <c r="R36" s="184"/>
      <c r="S36" s="184"/>
      <c r="T36" s="184"/>
      <c r="U36" s="184"/>
      <c r="V36" s="184"/>
      <c r="W36" s="184"/>
      <c r="X36" s="184"/>
      <c r="Y36" s="184"/>
    </row>
    <row r="37" spans="1:25" x14ac:dyDescent="0.25">
      <c r="A37" s="36">
        <v>7</v>
      </c>
      <c r="B37" s="36" t="s">
        <v>325</v>
      </c>
      <c r="C37" s="73">
        <v>0</v>
      </c>
      <c r="D37" s="73">
        <v>3.2166165210659803</v>
      </c>
      <c r="E37" s="73">
        <v>3.7649593997462989</v>
      </c>
      <c r="F37" s="73">
        <v>0.89758463090810181</v>
      </c>
      <c r="G37" s="73">
        <v>3.7385257467109958</v>
      </c>
      <c r="H37" s="73">
        <v>3.784499005075264</v>
      </c>
      <c r="I37" s="73">
        <v>0.84610791872386637</v>
      </c>
      <c r="J37" s="73">
        <v>4.9095525700604838</v>
      </c>
      <c r="K37" s="73">
        <v>2.4084757778042332</v>
      </c>
      <c r="L37" s="73">
        <v>6.8620701846373677</v>
      </c>
      <c r="M37" s="73">
        <v>8.9721910903617808</v>
      </c>
      <c r="O37" s="184"/>
      <c r="P37" s="184"/>
      <c r="Q37" s="184"/>
      <c r="R37" s="184"/>
      <c r="S37" s="184"/>
      <c r="T37" s="184"/>
      <c r="U37" s="184"/>
      <c r="V37" s="184"/>
      <c r="W37" s="184"/>
      <c r="X37" s="184"/>
      <c r="Y37" s="184"/>
    </row>
    <row r="38" spans="1:25" x14ac:dyDescent="0.25">
      <c r="A38" s="36">
        <v>8</v>
      </c>
      <c r="B38" s="36" t="s">
        <v>326</v>
      </c>
      <c r="C38" s="73">
        <v>9.1704537363732231E-3</v>
      </c>
      <c r="D38" s="73">
        <v>6.136628686311655E-3</v>
      </c>
      <c r="E38" s="73">
        <v>1.4999442600920796E-2</v>
      </c>
      <c r="F38" s="73">
        <v>1.230906060426697</v>
      </c>
      <c r="G38" s="73">
        <v>0.42076933548307421</v>
      </c>
      <c r="H38" s="73">
        <v>5.8239645720720287E-3</v>
      </c>
      <c r="I38" s="73">
        <v>1.0830026034116746E-3</v>
      </c>
      <c r="J38" s="73">
        <v>8.8906084322929379E-4</v>
      </c>
      <c r="K38" s="73">
        <v>4.4788803985118869E-3</v>
      </c>
      <c r="L38" s="73">
        <v>0.39633876997392625</v>
      </c>
      <c r="M38" s="73">
        <v>2.1610852400269285</v>
      </c>
      <c r="O38" s="184"/>
      <c r="P38" s="184"/>
      <c r="Q38" s="184"/>
      <c r="R38" s="184"/>
      <c r="S38" s="184"/>
      <c r="T38" s="184"/>
      <c r="U38" s="184"/>
      <c r="V38" s="184"/>
      <c r="W38" s="184"/>
      <c r="X38" s="184"/>
      <c r="Y38" s="184"/>
    </row>
    <row r="39" spans="1:25" x14ac:dyDescent="0.25">
      <c r="A39" s="36">
        <v>9</v>
      </c>
      <c r="B39" s="36" t="s">
        <v>327</v>
      </c>
      <c r="C39" s="73">
        <v>0</v>
      </c>
      <c r="D39" s="73">
        <v>0</v>
      </c>
      <c r="E39" s="73">
        <v>0</v>
      </c>
      <c r="F39" s="73">
        <v>0</v>
      </c>
      <c r="G39" s="73">
        <v>0</v>
      </c>
      <c r="H39" s="73">
        <v>0</v>
      </c>
      <c r="I39" s="73">
        <v>0</v>
      </c>
      <c r="J39" s="73">
        <v>0</v>
      </c>
      <c r="K39" s="73">
        <v>0</v>
      </c>
      <c r="L39" s="73">
        <v>0</v>
      </c>
      <c r="M39" s="73">
        <v>0</v>
      </c>
      <c r="O39" s="184"/>
      <c r="P39" s="184"/>
      <c r="Q39" s="184"/>
      <c r="R39" s="184"/>
      <c r="S39" s="184"/>
      <c r="T39" s="184"/>
      <c r="U39" s="184"/>
      <c r="V39" s="184"/>
      <c r="W39" s="184"/>
      <c r="X39" s="184"/>
      <c r="Y39" s="184"/>
    </row>
    <row r="40" spans="1:25" x14ac:dyDescent="0.25">
      <c r="A40" s="36">
        <v>10</v>
      </c>
      <c r="B40" s="36" t="s">
        <v>283</v>
      </c>
      <c r="C40" s="73">
        <v>9.475581607818603E-4</v>
      </c>
      <c r="D40" s="73">
        <v>5.9558040428161617E-4</v>
      </c>
      <c r="E40" s="73">
        <v>2.1720174688100814E-4</v>
      </c>
      <c r="F40" s="73">
        <v>3.8300257831811906E-5</v>
      </c>
      <c r="G40" s="73">
        <v>5.7973919352814554E-3</v>
      </c>
      <c r="H40" s="73">
        <v>8.1712047747448079E-3</v>
      </c>
      <c r="I40" s="73">
        <v>9.1387492370605464E-3</v>
      </c>
      <c r="J40" s="73">
        <v>8.6297092208862305E-3</v>
      </c>
      <c r="K40" s="73">
        <v>1.8788070847034453E-2</v>
      </c>
      <c r="L40" s="73">
        <v>0.30404883811700345</v>
      </c>
      <c r="M40" s="73">
        <v>2.997569495175481</v>
      </c>
      <c r="O40" s="184"/>
      <c r="P40" s="184"/>
      <c r="Q40" s="184"/>
      <c r="R40" s="184"/>
      <c r="S40" s="184"/>
      <c r="T40" s="184"/>
      <c r="U40" s="184"/>
      <c r="V40" s="184"/>
      <c r="W40" s="184"/>
      <c r="X40" s="184"/>
      <c r="Y40" s="184"/>
    </row>
    <row r="41" spans="1:25" x14ac:dyDescent="0.25">
      <c r="A41" s="36">
        <v>11</v>
      </c>
      <c r="B41" s="36" t="s">
        <v>84</v>
      </c>
      <c r="C41" s="73">
        <v>3.4479150832290055</v>
      </c>
      <c r="D41" s="73">
        <v>3.6844818904709817</v>
      </c>
      <c r="E41" s="73">
        <v>3.6118014285235107</v>
      </c>
      <c r="F41" s="73">
        <v>3.8304932341515907</v>
      </c>
      <c r="G41" s="73">
        <v>3.876479662050929</v>
      </c>
      <c r="H41" s="73">
        <v>4.2391859934029581</v>
      </c>
      <c r="I41" s="73">
        <v>2.980900894836366</v>
      </c>
      <c r="J41" s="73">
        <v>9.7441875410973946</v>
      </c>
      <c r="K41" s="73">
        <v>6.2767656424176472</v>
      </c>
      <c r="L41" s="73">
        <v>5.1693610857952237</v>
      </c>
      <c r="M41" s="73">
        <v>2.4121658409984112</v>
      </c>
      <c r="O41" s="184"/>
      <c r="P41" s="184"/>
      <c r="Q41" s="184"/>
      <c r="R41" s="184"/>
      <c r="S41" s="184"/>
      <c r="T41" s="184"/>
      <c r="U41" s="184"/>
      <c r="V41" s="184"/>
      <c r="W41" s="184"/>
      <c r="X41" s="184"/>
      <c r="Y41" s="184"/>
    </row>
    <row r="42" spans="1:25" x14ac:dyDescent="0.25">
      <c r="A42" s="36">
        <v>12</v>
      </c>
      <c r="B42" s="36" t="s">
        <v>284</v>
      </c>
      <c r="C42" s="73">
        <v>2.2532192899497003</v>
      </c>
      <c r="D42" s="73">
        <v>3.0453492513287066</v>
      </c>
      <c r="E42" s="73">
        <v>4.0386432284891605</v>
      </c>
      <c r="F42" s="73">
        <v>4.1869623324228522</v>
      </c>
      <c r="G42" s="73">
        <v>4.2995073332783651</v>
      </c>
      <c r="H42" s="73">
        <v>4.0545263964908944</v>
      </c>
      <c r="I42" s="73">
        <v>4.8889349682966765</v>
      </c>
      <c r="J42" s="73">
        <v>5.7333795437724291</v>
      </c>
      <c r="K42" s="73">
        <v>4.5887331043199007</v>
      </c>
      <c r="L42" s="73">
        <v>6.0048941901425641</v>
      </c>
      <c r="M42" s="73">
        <v>4.4932979116149623</v>
      </c>
      <c r="O42" s="184"/>
      <c r="P42" s="184"/>
      <c r="Q42" s="184"/>
      <c r="R42" s="184"/>
      <c r="S42" s="184"/>
      <c r="T42" s="184"/>
      <c r="U42" s="184"/>
      <c r="V42" s="184"/>
      <c r="W42" s="184"/>
      <c r="X42" s="184"/>
      <c r="Y42" s="184"/>
    </row>
    <row r="43" spans="1:25" x14ac:dyDescent="0.25">
      <c r="A43" s="36">
        <v>13</v>
      </c>
      <c r="B43" s="36" t="s">
        <v>285</v>
      </c>
      <c r="C43" s="73">
        <v>3.6406764004181027</v>
      </c>
      <c r="D43" s="73">
        <v>4.0395364521535635</v>
      </c>
      <c r="E43" s="73">
        <v>3.9602799374657871</v>
      </c>
      <c r="F43" s="73">
        <v>3.0505323391282784</v>
      </c>
      <c r="G43" s="73">
        <v>1.8928055754848794</v>
      </c>
      <c r="H43" s="73">
        <v>2.8770031533403397</v>
      </c>
      <c r="I43" s="73">
        <v>2.33045673300153</v>
      </c>
      <c r="J43" s="73">
        <v>1.5972833262631445</v>
      </c>
      <c r="K43" s="73">
        <v>2.9594705441137403</v>
      </c>
      <c r="L43" s="73">
        <v>2.7064168562149109</v>
      </c>
      <c r="M43" s="73">
        <v>3.0987419107199012</v>
      </c>
      <c r="O43" s="184"/>
      <c r="P43" s="184"/>
      <c r="Q43" s="184"/>
      <c r="R43" s="184"/>
      <c r="S43" s="184"/>
      <c r="T43" s="184"/>
      <c r="U43" s="184"/>
      <c r="V43" s="184"/>
      <c r="W43" s="184"/>
      <c r="X43" s="184"/>
      <c r="Y43" s="184"/>
    </row>
    <row r="44" spans="1:25" x14ac:dyDescent="0.25">
      <c r="A44" s="36">
        <v>14</v>
      </c>
      <c r="B44" s="36" t="s">
        <v>74</v>
      </c>
      <c r="C44" s="73">
        <v>0.5541125314930081</v>
      </c>
      <c r="D44" s="73">
        <v>0.53713615025401862</v>
      </c>
      <c r="E44" s="73">
        <v>0.62479308012988422</v>
      </c>
      <c r="F44" s="73">
        <v>0.44049677969526269</v>
      </c>
      <c r="G44" s="73">
        <v>0.68487967545872042</v>
      </c>
      <c r="H44" s="73">
        <v>0.56756074885653962</v>
      </c>
      <c r="I44" s="73">
        <v>0.86847007880636207</v>
      </c>
      <c r="J44" s="73">
        <v>1.6728693564382626</v>
      </c>
      <c r="K44" s="73">
        <v>0.92971329441917683</v>
      </c>
      <c r="L44" s="73">
        <v>1.0898967406371236</v>
      </c>
      <c r="M44" s="73">
        <v>0.93371647706258298</v>
      </c>
      <c r="O44" s="184"/>
      <c r="P44" s="184"/>
      <c r="Q44" s="184"/>
      <c r="R44" s="184"/>
      <c r="S44" s="184"/>
      <c r="T44" s="184"/>
      <c r="U44" s="184"/>
      <c r="V44" s="184"/>
      <c r="W44" s="184"/>
      <c r="X44" s="184"/>
      <c r="Y44" s="184"/>
    </row>
    <row r="45" spans="1:25" x14ac:dyDescent="0.25">
      <c r="A45" s="36">
        <v>15</v>
      </c>
      <c r="B45" s="36" t="s">
        <v>286</v>
      </c>
      <c r="C45" s="73">
        <v>3.1080863301627338E-2</v>
      </c>
      <c r="D45" s="73">
        <v>2.4816949579566719E-2</v>
      </c>
      <c r="E45" s="73">
        <v>9.8099431504316631E-2</v>
      </c>
      <c r="F45" s="73">
        <v>0.11012195842436515</v>
      </c>
      <c r="G45" s="73">
        <v>5.1730461221391334E-2</v>
      </c>
      <c r="H45" s="73">
        <v>4.7490889149196448E-2</v>
      </c>
      <c r="I45" s="73">
        <v>3.4112266215555367E-2</v>
      </c>
      <c r="J45" s="73">
        <v>2.2232284266695379E-2</v>
      </c>
      <c r="K45" s="73">
        <v>3.8216632259972391E-2</v>
      </c>
      <c r="L45" s="73">
        <v>5.3212625390380623E-2</v>
      </c>
      <c r="M45" s="73">
        <v>2.6732364915188402E-2</v>
      </c>
      <c r="O45" s="184"/>
      <c r="P45" s="184"/>
      <c r="Q45" s="184"/>
      <c r="R45" s="184"/>
      <c r="S45" s="184"/>
      <c r="T45" s="184"/>
      <c r="U45" s="184"/>
      <c r="V45" s="184"/>
      <c r="W45" s="184"/>
      <c r="X45" s="184"/>
      <c r="Y45" s="184"/>
    </row>
    <row r="46" spans="1:25" x14ac:dyDescent="0.25">
      <c r="A46" s="36">
        <v>16</v>
      </c>
      <c r="B46" s="36" t="s">
        <v>82</v>
      </c>
      <c r="C46" s="73">
        <v>0</v>
      </c>
      <c r="D46" s="73">
        <v>2.1577546745538711E-7</v>
      </c>
      <c r="E46" s="73">
        <v>8.2596299238502978E-8</v>
      </c>
      <c r="F46" s="73">
        <v>8.1435391845926641E-4</v>
      </c>
      <c r="G46" s="73">
        <v>3.1165624117758127E-4</v>
      </c>
      <c r="H46" s="73">
        <v>1.1271994566172361E-4</v>
      </c>
      <c r="I46" s="73">
        <v>6.0941857635974884E-5</v>
      </c>
      <c r="J46" s="73">
        <v>1.5794810473918916E-5</v>
      </c>
      <c r="K46" s="73">
        <v>3.3121187984943388E-6</v>
      </c>
      <c r="L46" s="73">
        <v>3.8001951575279235E-7</v>
      </c>
      <c r="M46" s="73">
        <v>0</v>
      </c>
      <c r="O46" s="184"/>
      <c r="P46" s="184"/>
      <c r="Q46" s="184"/>
      <c r="R46" s="184"/>
      <c r="S46" s="184"/>
      <c r="T46" s="184"/>
      <c r="U46" s="184"/>
      <c r="V46" s="184"/>
      <c r="W46" s="184"/>
      <c r="X46" s="184"/>
      <c r="Y46" s="184"/>
    </row>
    <row r="47" spans="1:25" x14ac:dyDescent="0.25">
      <c r="A47" s="36">
        <v>17</v>
      </c>
      <c r="B47" s="36" t="s">
        <v>76</v>
      </c>
      <c r="C47" s="73">
        <v>0.86515574837219711</v>
      </c>
      <c r="D47" s="73">
        <v>0.95817812429469829</v>
      </c>
      <c r="E47" s="73">
        <v>1.2982488542103767</v>
      </c>
      <c r="F47" s="73">
        <v>2.206941725749433</v>
      </c>
      <c r="G47" s="73">
        <v>2.193840922639489</v>
      </c>
      <c r="H47" s="73">
        <v>2.6741634779959322</v>
      </c>
      <c r="I47" s="73">
        <v>1.4155190062906742</v>
      </c>
      <c r="J47" s="73">
        <v>1.8397323925000653</v>
      </c>
      <c r="K47" s="73">
        <v>1.3621465251681284</v>
      </c>
      <c r="L47" s="73">
        <v>1.4073283168676347</v>
      </c>
      <c r="M47" s="73">
        <v>0.99256787532289326</v>
      </c>
      <c r="O47" s="184"/>
      <c r="P47" s="184"/>
      <c r="Q47" s="184"/>
      <c r="R47" s="184"/>
      <c r="S47" s="184"/>
      <c r="T47" s="184"/>
      <c r="U47" s="184"/>
      <c r="V47" s="184"/>
      <c r="W47" s="184"/>
      <c r="X47" s="184"/>
      <c r="Y47" s="184"/>
    </row>
    <row r="48" spans="1:25" x14ac:dyDescent="0.25">
      <c r="A48" s="36">
        <v>18</v>
      </c>
      <c r="B48" s="36" t="s">
        <v>287</v>
      </c>
      <c r="C48" s="73">
        <v>0.54174658861121539</v>
      </c>
      <c r="D48" s="73">
        <v>0.51323976017412543</v>
      </c>
      <c r="E48" s="73">
        <v>0.73877817560130354</v>
      </c>
      <c r="F48" s="73">
        <v>1.4545985488622337</v>
      </c>
      <c r="G48" s="73">
        <v>0.96618995668911933</v>
      </c>
      <c r="H48" s="73">
        <v>0.70612593194244055</v>
      </c>
      <c r="I48" s="73">
        <v>0.73993134177513187</v>
      </c>
      <c r="J48" s="73">
        <v>1.2172468255114524</v>
      </c>
      <c r="K48" s="73">
        <v>0.94709362350489201</v>
      </c>
      <c r="L48" s="73">
        <v>1.8145863458337783</v>
      </c>
      <c r="M48" s="73">
        <v>0.89854083097380399</v>
      </c>
      <c r="O48" s="184"/>
      <c r="P48" s="184"/>
      <c r="Q48" s="184"/>
      <c r="R48" s="184"/>
      <c r="S48" s="184"/>
      <c r="T48" s="184"/>
      <c r="U48" s="184"/>
      <c r="V48" s="184"/>
      <c r="W48" s="184"/>
      <c r="X48" s="184"/>
      <c r="Y48" s="184"/>
    </row>
    <row r="49" spans="1:25" x14ac:dyDescent="0.25">
      <c r="A49" s="210" t="s">
        <v>245</v>
      </c>
      <c r="B49" s="211"/>
      <c r="C49" s="75">
        <v>52.870395666936815</v>
      </c>
      <c r="D49" s="75">
        <v>70.711523025498934</v>
      </c>
      <c r="E49" s="75">
        <v>68.440442477375157</v>
      </c>
      <c r="F49" s="75">
        <v>67.736596258604422</v>
      </c>
      <c r="G49" s="75">
        <v>75.566227404274244</v>
      </c>
      <c r="H49" s="75">
        <v>65.708208933272431</v>
      </c>
      <c r="I49" s="75">
        <v>64.829623363820787</v>
      </c>
      <c r="J49" s="75">
        <v>69.69149663171244</v>
      </c>
      <c r="K49" s="75">
        <v>60.422060304947699</v>
      </c>
      <c r="L49" s="75">
        <v>77.293621609799004</v>
      </c>
      <c r="M49" s="75">
        <v>73.372005970668155</v>
      </c>
      <c r="O49" s="184"/>
      <c r="P49" s="184"/>
      <c r="Q49" s="184"/>
      <c r="R49" s="184"/>
      <c r="S49" s="184"/>
      <c r="T49" s="184"/>
      <c r="U49" s="184"/>
      <c r="V49" s="184"/>
      <c r="W49" s="184"/>
      <c r="X49" s="184"/>
      <c r="Y49" s="184"/>
    </row>
  </sheetData>
  <mergeCells count="7">
    <mergeCell ref="C3:M3"/>
    <mergeCell ref="C5:M5"/>
    <mergeCell ref="C28:M28"/>
    <mergeCell ref="C30:M30"/>
    <mergeCell ref="A49:B49"/>
    <mergeCell ref="A4:B4"/>
    <mergeCell ref="A22:B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9D953-872B-4AE0-B096-F6129B30C44D}">
  <dimension ref="A1"/>
  <sheetViews>
    <sheetView zoomScale="70" zoomScaleNormal="70" workbookViewId="0">
      <selection activeCell="Y29" sqref="Y29"/>
    </sheetView>
  </sheetViews>
  <sheetFormatPr defaultColWidth="9.140625" defaultRowHeight="15" x14ac:dyDescent="0.25"/>
  <cols>
    <col min="1" max="16384" width="9.1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9CAE7-42CF-483F-9446-FBF777C4704C}">
  <dimension ref="A1:L45"/>
  <sheetViews>
    <sheetView zoomScale="88" zoomScaleNormal="80" workbookViewId="0">
      <selection activeCell="H6" sqref="H6"/>
    </sheetView>
  </sheetViews>
  <sheetFormatPr defaultColWidth="9.140625" defaultRowHeight="15" x14ac:dyDescent="0.25"/>
  <cols>
    <col min="1" max="1" width="5.42578125" style="1" customWidth="1"/>
    <col min="2" max="2" width="11.28515625" style="1" customWidth="1"/>
    <col min="3" max="3" width="9" style="1" customWidth="1"/>
    <col min="4" max="4" width="8.7109375" style="1" customWidth="1"/>
    <col min="5" max="5" width="8.5703125" style="1" customWidth="1"/>
    <col min="6" max="6" width="8.28515625" style="1" customWidth="1"/>
    <col min="7" max="7" width="8.5703125" style="1" customWidth="1"/>
    <col min="8" max="8" width="8.42578125" style="1" customWidth="1"/>
    <col min="9" max="9" width="9.28515625" style="1" customWidth="1"/>
    <col min="10" max="10" width="8.28515625" style="1" customWidth="1"/>
    <col min="11" max="11" width="8.42578125" style="1" customWidth="1"/>
    <col min="12" max="16384" width="9.140625" style="1"/>
  </cols>
  <sheetData>
    <row r="1" spans="1:11" x14ac:dyDescent="0.25">
      <c r="A1" s="70" t="s">
        <v>342</v>
      </c>
      <c r="B1" s="68"/>
      <c r="C1" s="68"/>
      <c r="D1" s="68"/>
      <c r="E1" s="68"/>
      <c r="F1" s="68"/>
      <c r="G1" s="68"/>
    </row>
    <row r="2" spans="1:11" ht="15" customHeight="1" x14ac:dyDescent="0.25"/>
    <row r="3" spans="1:11" ht="61.5" customHeight="1" x14ac:dyDescent="0.25">
      <c r="A3" s="217" t="s">
        <v>274</v>
      </c>
      <c r="B3" s="217"/>
      <c r="C3" s="79" t="s">
        <v>289</v>
      </c>
      <c r="D3" s="79" t="s">
        <v>338</v>
      </c>
      <c r="E3" s="214" t="s">
        <v>290</v>
      </c>
      <c r="F3" s="79" t="s">
        <v>291</v>
      </c>
      <c r="G3" s="79" t="s">
        <v>339</v>
      </c>
      <c r="H3" s="214" t="s">
        <v>290</v>
      </c>
      <c r="I3" s="79" t="s">
        <v>321</v>
      </c>
      <c r="J3" s="79" t="s">
        <v>340</v>
      </c>
      <c r="K3" s="214" t="s">
        <v>290</v>
      </c>
    </row>
    <row r="4" spans="1:11" ht="25.5" customHeight="1" x14ac:dyDescent="0.25">
      <c r="A4" s="80" t="s">
        <v>275</v>
      </c>
      <c r="B4" s="80" t="s">
        <v>276</v>
      </c>
      <c r="C4" s="81" t="s">
        <v>292</v>
      </c>
      <c r="D4" s="81" t="s">
        <v>292</v>
      </c>
      <c r="E4" s="214"/>
      <c r="F4" s="81" t="s">
        <v>292</v>
      </c>
      <c r="G4" s="81" t="s">
        <v>292</v>
      </c>
      <c r="H4" s="214"/>
      <c r="I4" s="81" t="s">
        <v>292</v>
      </c>
      <c r="J4" s="81" t="s">
        <v>292</v>
      </c>
      <c r="K4" s="214"/>
    </row>
    <row r="5" spans="1:11" ht="24" customHeight="1" x14ac:dyDescent="0.25">
      <c r="A5" s="82">
        <v>1</v>
      </c>
      <c r="B5" s="83" t="s">
        <v>277</v>
      </c>
      <c r="C5" s="186">
        <f>117315.63/1000</f>
        <v>117.31563</v>
      </c>
      <c r="D5" s="186">
        <f>'2'!E6-'2'!E31</f>
        <v>128.55311585852067</v>
      </c>
      <c r="E5" s="85">
        <f>(C5-D5)/C5</f>
        <v>-9.5788479834448922E-2</v>
      </c>
      <c r="F5" s="186">
        <f>95998.53/1000</f>
        <v>95.998530000000002</v>
      </c>
      <c r="G5" s="186">
        <f>'2'!H6-'2'!H31</f>
        <v>178.92188954874686</v>
      </c>
      <c r="H5" s="86">
        <f>IFERROR((F5-G5)/F5,"")</f>
        <v>-0.86379822220972402</v>
      </c>
      <c r="I5" s="186">
        <v>155</v>
      </c>
      <c r="J5" s="186">
        <f>'2'!L6</f>
        <v>223.50537735016906</v>
      </c>
      <c r="K5" s="86">
        <f>IFERROR((I5-J5)/I5,"")</f>
        <v>-0.44197017645270359</v>
      </c>
    </row>
    <row r="6" spans="1:11" ht="21.75" customHeight="1" x14ac:dyDescent="0.25">
      <c r="A6" s="82">
        <v>2</v>
      </c>
      <c r="B6" s="83" t="s">
        <v>278</v>
      </c>
      <c r="C6" s="186">
        <f>33496.42/1000</f>
        <v>33.496420000000001</v>
      </c>
      <c r="D6" s="186">
        <f>'2'!E7-'2'!E32</f>
        <v>44.107727829465489</v>
      </c>
      <c r="E6" s="85">
        <f t="shared" ref="E6:E17" si="0">(C6-D6)/C6</f>
        <v>-0.31678931149852696</v>
      </c>
      <c r="F6" s="186">
        <f>36166.84/1000</f>
        <v>36.166839999999993</v>
      </c>
      <c r="G6" s="186">
        <f>'2'!H7-'2'!H32</f>
        <v>50.813120796829516</v>
      </c>
      <c r="H6" s="86">
        <f t="shared" ref="H6:H25" si="1">IFERROR((F6-G6)/F6,"")</f>
        <v>-0.40496434847029833</v>
      </c>
      <c r="I6" s="186">
        <v>30.21</v>
      </c>
      <c r="J6" s="186">
        <f>'2'!L7-'2'!L32</f>
        <v>76.539950799540833</v>
      </c>
      <c r="K6" s="86">
        <f t="shared" ref="K6:K12" si="2">IFERROR((I6-J6)/I6,"")</f>
        <v>-1.5335965176941686</v>
      </c>
    </row>
    <row r="7" spans="1:11" ht="23.25" customHeight="1" x14ac:dyDescent="0.25">
      <c r="A7" s="82">
        <v>3</v>
      </c>
      <c r="B7" s="83" t="s">
        <v>279</v>
      </c>
      <c r="C7" s="186">
        <f>2462.29/1000</f>
        <v>2.4622899999999999</v>
      </c>
      <c r="D7" s="186">
        <f>'2'!E8</f>
        <v>0</v>
      </c>
      <c r="E7" s="87">
        <f>(C7-D7)/C7</f>
        <v>1</v>
      </c>
      <c r="F7" s="186">
        <f>3716.75/1000</f>
        <v>3.7167500000000002</v>
      </c>
      <c r="G7" s="186">
        <f>'2'!H8</f>
        <v>0</v>
      </c>
      <c r="H7" s="88">
        <f t="shared" si="1"/>
        <v>1</v>
      </c>
      <c r="I7" s="186">
        <v>2.4516800000000001</v>
      </c>
      <c r="J7" s="186">
        <f>'2'!L8</f>
        <v>0</v>
      </c>
      <c r="K7" s="88">
        <f t="shared" si="2"/>
        <v>1</v>
      </c>
    </row>
    <row r="8" spans="1:11" ht="31.5" customHeight="1" x14ac:dyDescent="0.25">
      <c r="A8" s="82">
        <v>4</v>
      </c>
      <c r="B8" s="83" t="s">
        <v>64</v>
      </c>
      <c r="C8" s="186">
        <f>2958.8/1000</f>
        <v>2.9588000000000001</v>
      </c>
      <c r="D8" s="186">
        <f>'2'!E9-'2'!E34</f>
        <v>16.131298120062937</v>
      </c>
      <c r="E8" s="85">
        <f>(C8-D8)/C8</f>
        <v>-4.451973137779822</v>
      </c>
      <c r="F8" s="186">
        <f>24321.18/1000</f>
        <v>24.321180000000002</v>
      </c>
      <c r="G8" s="186">
        <f>'2'!H9-'2'!H34</f>
        <v>24.526381136836868</v>
      </c>
      <c r="H8" s="88">
        <f t="shared" si="1"/>
        <v>-8.4371373772516804E-3</v>
      </c>
      <c r="I8" s="186">
        <v>28.547640000000001</v>
      </c>
      <c r="J8" s="186">
        <f>'2'!L9-'2'!L34</f>
        <v>37.36953843491245</v>
      </c>
      <c r="K8" s="88">
        <f t="shared" si="2"/>
        <v>-0.30902373838651631</v>
      </c>
    </row>
    <row r="9" spans="1:11" ht="36.75" customHeight="1" x14ac:dyDescent="0.25">
      <c r="A9" s="82">
        <v>5</v>
      </c>
      <c r="B9" s="83" t="s">
        <v>280</v>
      </c>
      <c r="C9" s="186">
        <f>130933.27/1000</f>
        <v>130.93326999999999</v>
      </c>
      <c r="D9" s="186">
        <f>'2'!E10-'2'!E35</f>
        <v>116.17634059863495</v>
      </c>
      <c r="E9" s="89">
        <f t="shared" si="0"/>
        <v>0.11270572713386783</v>
      </c>
      <c r="F9" s="186">
        <f>145278.78/1000</f>
        <v>145.27878000000001</v>
      </c>
      <c r="G9" s="186">
        <f>'2'!H10-'2'!H35</f>
        <v>149.77176942557605</v>
      </c>
      <c r="H9" s="88">
        <f t="shared" si="1"/>
        <v>-3.0926673706759111E-2</v>
      </c>
      <c r="I9" s="186">
        <v>173.9</v>
      </c>
      <c r="J9" s="186">
        <f>'2'!L10-'2'!L35</f>
        <v>188.64234214664182</v>
      </c>
      <c r="K9" s="88">
        <f t="shared" si="2"/>
        <v>-8.4774825455099581E-2</v>
      </c>
    </row>
    <row r="10" spans="1:11" ht="48" customHeight="1" x14ac:dyDescent="0.25">
      <c r="A10" s="82">
        <v>6</v>
      </c>
      <c r="B10" s="83" t="s">
        <v>281</v>
      </c>
      <c r="C10" s="186">
        <f>849.49/1000</f>
        <v>0.84948999999999997</v>
      </c>
      <c r="D10" s="186">
        <f>'2'!E11</f>
        <v>1.2896315827582394</v>
      </c>
      <c r="E10" s="89">
        <f>(C10-D10)/C10</f>
        <v>-0.51812450147528455</v>
      </c>
      <c r="F10" s="186">
        <f>1603.27/1000</f>
        <v>1.60327</v>
      </c>
      <c r="G10" s="186">
        <f>'2'!H11</f>
        <v>1.9118328814245182</v>
      </c>
      <c r="H10" s="88">
        <f t="shared" si="1"/>
        <v>-0.19245846390471866</v>
      </c>
      <c r="I10" s="186">
        <v>2.1734399999999998</v>
      </c>
      <c r="J10" s="186">
        <f>'2'!L11</f>
        <v>3.707874527165977</v>
      </c>
      <c r="K10" s="88">
        <f t="shared" si="2"/>
        <v>-0.70599350668340388</v>
      </c>
    </row>
    <row r="11" spans="1:11" ht="24" customHeight="1" x14ac:dyDescent="0.25">
      <c r="A11" s="82">
        <v>7</v>
      </c>
      <c r="B11" s="83" t="s">
        <v>293</v>
      </c>
      <c r="C11" s="218">
        <f>33845.32/1000</f>
        <v>33.845320000000001</v>
      </c>
      <c r="D11" s="186">
        <f>'1'!R7-'2'!E37</f>
        <v>28.034609759182942</v>
      </c>
      <c r="E11" s="87">
        <f>(C11-(D11+D12+D13))/C11</f>
        <v>3.994754920052996E-2</v>
      </c>
      <c r="F11" s="186">
        <f>42260.97/1000</f>
        <v>42.26097</v>
      </c>
      <c r="G11" s="186">
        <f>'1'!U7-'2'!H37</f>
        <v>39.701579843416653</v>
      </c>
      <c r="H11" s="88">
        <f t="shared" si="1"/>
        <v>6.0561557308867912E-2</v>
      </c>
      <c r="I11" s="186">
        <v>50.051299999999998</v>
      </c>
      <c r="J11" s="186">
        <f>'1'!Y7-'2'!L37</f>
        <v>42.731168575452472</v>
      </c>
      <c r="K11" s="88">
        <f t="shared" si="2"/>
        <v>0.14625257335069272</v>
      </c>
    </row>
    <row r="12" spans="1:11" ht="42.75" customHeight="1" x14ac:dyDescent="0.25">
      <c r="A12" s="82">
        <v>8</v>
      </c>
      <c r="B12" s="83" t="s">
        <v>294</v>
      </c>
      <c r="C12" s="218"/>
      <c r="D12" s="186">
        <f>'1'!R9-'2'!E38</f>
        <v>0.6819272324298693</v>
      </c>
      <c r="E12" s="87"/>
      <c r="F12" s="186">
        <f>18217.44/1000</f>
        <v>18.21744</v>
      </c>
      <c r="G12" s="186">
        <f>'1'!U9-'2'!H38</f>
        <v>0.85100286147632398</v>
      </c>
      <c r="H12" s="88">
        <f t="shared" si="1"/>
        <v>0.95328636397450328</v>
      </c>
      <c r="I12" s="186">
        <v>7.4943799999999996</v>
      </c>
      <c r="J12" s="186">
        <f>'1'!Y9-'2'!L38</f>
        <v>1.4583196497048792</v>
      </c>
      <c r="K12" s="88">
        <f t="shared" si="2"/>
        <v>0.80541156844130135</v>
      </c>
    </row>
    <row r="13" spans="1:11" ht="46.5" customHeight="1" x14ac:dyDescent="0.25">
      <c r="A13" s="82">
        <v>9</v>
      </c>
      <c r="B13" s="83" t="s">
        <v>295</v>
      </c>
      <c r="C13" s="218"/>
      <c r="D13" s="186">
        <f>'1'!R10-'2'!E39</f>
        <v>3.7767454224795083</v>
      </c>
      <c r="E13" s="87"/>
      <c r="F13" s="187" t="s">
        <v>296</v>
      </c>
      <c r="G13" s="186">
        <f>'1'!U10-'2'!H39</f>
        <v>4.534770718542311</v>
      </c>
      <c r="H13" s="88"/>
      <c r="I13" s="187" t="s">
        <v>296</v>
      </c>
      <c r="J13" s="186">
        <f>'1'!Y10-'2'!L39</f>
        <v>5.2082437261181402</v>
      </c>
      <c r="K13" s="88"/>
    </row>
    <row r="14" spans="1:11" x14ac:dyDescent="0.25">
      <c r="A14" s="82">
        <v>10</v>
      </c>
      <c r="B14" s="91" t="s">
        <v>297</v>
      </c>
      <c r="C14" s="186">
        <f>1464.62/1000</f>
        <v>1.4646199999999998</v>
      </c>
      <c r="D14" s="186">
        <f>'2'!E13-'2'!E40</f>
        <v>9.385202697336675E-3</v>
      </c>
      <c r="E14" s="85">
        <f t="shared" si="0"/>
        <v>0.99359205616655744</v>
      </c>
      <c r="F14" s="186">
        <f>4313.44/1000</f>
        <v>4.3134399999999999</v>
      </c>
      <c r="G14" s="186">
        <f>'2'!H13-'2'!H40</f>
        <v>5.1089028900992123E-2</v>
      </c>
      <c r="H14" s="92" t="s">
        <v>298</v>
      </c>
      <c r="I14" s="186">
        <v>3.2379799999999999</v>
      </c>
      <c r="J14" s="186">
        <f>'2'!L13-'2'!L40</f>
        <v>-0.20129244701898097</v>
      </c>
      <c r="K14" s="92" t="s">
        <v>298</v>
      </c>
    </row>
    <row r="15" spans="1:11" ht="30" x14ac:dyDescent="0.25">
      <c r="A15" s="82">
        <v>11</v>
      </c>
      <c r="B15" s="83" t="s">
        <v>84</v>
      </c>
      <c r="C15" s="186">
        <f>1867.94/1000</f>
        <v>1.8679400000000002</v>
      </c>
      <c r="D15" s="186">
        <f>'2'!E14-'2'!E41</f>
        <v>5.9593151498608021</v>
      </c>
      <c r="E15" s="85">
        <f t="shared" si="0"/>
        <v>-2.1903140089407591</v>
      </c>
      <c r="F15" s="186">
        <f>2524.78/1000</f>
        <v>2.5247800000000002</v>
      </c>
      <c r="G15" s="186">
        <f>'2'!H14-'2'!H41</f>
        <v>8.9204662057295856</v>
      </c>
      <c r="H15" s="88">
        <f t="shared" si="1"/>
        <v>-2.533165743442829</v>
      </c>
      <c r="I15" s="186">
        <v>3.5581399999999999</v>
      </c>
      <c r="J15" s="186">
        <f>'2'!L14-'2'!L41</f>
        <v>12.314821670062319</v>
      </c>
      <c r="K15" s="88">
        <f t="shared" ref="K15:K20" si="3">IFERROR((I15-J15)/I15,"")</f>
        <v>-2.4610278600792324</v>
      </c>
    </row>
    <row r="16" spans="1:11" ht="21" customHeight="1" x14ac:dyDescent="0.25">
      <c r="A16" s="82">
        <v>12</v>
      </c>
      <c r="B16" s="83" t="s">
        <v>284</v>
      </c>
      <c r="C16" s="186">
        <f>27717.25/1000</f>
        <v>27.71725</v>
      </c>
      <c r="D16" s="186">
        <f>'2'!E15-'2'!E42</f>
        <v>2.7875953241764231</v>
      </c>
      <c r="E16" s="87">
        <f t="shared" si="0"/>
        <v>0.89942742067930903</v>
      </c>
      <c r="F16" s="188" t="s">
        <v>296</v>
      </c>
      <c r="G16" s="186">
        <f>'2'!H15-'2'!H42</f>
        <v>5.3517747383444174</v>
      </c>
      <c r="H16" s="88" t="str">
        <f t="shared" si="1"/>
        <v/>
      </c>
      <c r="I16" s="188" t="s">
        <v>296</v>
      </c>
      <c r="J16" s="186">
        <f>'2'!L15-'2'!L42</f>
        <v>5.7744840962223565</v>
      </c>
      <c r="K16" s="88" t="str">
        <f t="shared" si="3"/>
        <v/>
      </c>
    </row>
    <row r="17" spans="1:11" ht="30" customHeight="1" x14ac:dyDescent="0.25">
      <c r="A17" s="82">
        <v>13</v>
      </c>
      <c r="B17" s="83" t="s">
        <v>285</v>
      </c>
      <c r="C17" s="186">
        <f>5248.35/1000</f>
        <v>5.2483500000000003</v>
      </c>
      <c r="D17" s="186">
        <f>'2'!E16-'2'!E43</f>
        <v>6.0835483908533572</v>
      </c>
      <c r="E17" s="85">
        <f t="shared" si="0"/>
        <v>-0.15913542177129134</v>
      </c>
      <c r="F17" s="186">
        <f>6755.85/1000</f>
        <v>6.7558500000000006</v>
      </c>
      <c r="G17" s="186">
        <f>'2'!H16-'2'!H43</f>
        <v>7.9477131804099272</v>
      </c>
      <c r="H17" s="88">
        <f t="shared" si="1"/>
        <v>-0.17641942618766351</v>
      </c>
      <c r="I17" s="186">
        <v>3.8860399999999999</v>
      </c>
      <c r="J17" s="186">
        <f>'2'!L16-'2'!L43</f>
        <v>11.816649611444035</v>
      </c>
      <c r="K17" s="88">
        <f t="shared" si="3"/>
        <v>-2.0407946422177941</v>
      </c>
    </row>
    <row r="18" spans="1:11" ht="30" x14ac:dyDescent="0.25">
      <c r="A18" s="82">
        <v>14</v>
      </c>
      <c r="B18" s="83" t="s">
        <v>74</v>
      </c>
      <c r="C18" s="187" t="s">
        <v>296</v>
      </c>
      <c r="D18" s="186">
        <f>'2'!E17-'2'!E44</f>
        <v>1.1066559484042771</v>
      </c>
      <c r="E18" s="89"/>
      <c r="F18" s="187" t="s">
        <v>296</v>
      </c>
      <c r="G18" s="186">
        <f>'2'!H17-'2'!H44</f>
        <v>1.872575462548796</v>
      </c>
      <c r="H18" s="88" t="str">
        <f>IFERROR((F18-G18)/F18,"")</f>
        <v/>
      </c>
      <c r="I18" s="215">
        <v>0.42</v>
      </c>
      <c r="J18" s="186">
        <f>'2'!L17-'2'!L44</f>
        <v>1.5080117291782149</v>
      </c>
      <c r="K18" s="88">
        <f>IFERROR((I18-J18)/I18,"")</f>
        <v>-2.5905041170909882</v>
      </c>
    </row>
    <row r="19" spans="1:11" x14ac:dyDescent="0.25">
      <c r="A19" s="82">
        <v>17</v>
      </c>
      <c r="B19" s="83" t="s">
        <v>76</v>
      </c>
      <c r="C19" s="187" t="s">
        <v>296</v>
      </c>
      <c r="D19" s="186">
        <f>'2'!E20-'2'!E47</f>
        <v>3.6077662648613873</v>
      </c>
      <c r="E19" s="89"/>
      <c r="F19" s="187" t="s">
        <v>296</v>
      </c>
      <c r="G19" s="186">
        <f>'2'!H20-'2'!H47</f>
        <v>2.4943759111845236</v>
      </c>
      <c r="H19" s="88" t="str">
        <f>IFERROR((F19-G19)/F19,"")</f>
        <v/>
      </c>
      <c r="I19" s="216"/>
      <c r="J19" s="186">
        <f>'2'!L20-'2'!L47</f>
        <v>3.1996376545405951</v>
      </c>
      <c r="K19" s="88" t="str">
        <f>IFERROR((I19-J19)/I19,"")</f>
        <v/>
      </c>
    </row>
    <row r="20" spans="1:11" ht="45" x14ac:dyDescent="0.25">
      <c r="A20" s="82">
        <v>15</v>
      </c>
      <c r="B20" s="83" t="s">
        <v>286</v>
      </c>
      <c r="C20" s="187" t="s">
        <v>296</v>
      </c>
      <c r="D20" s="186">
        <f>'2'!E18-'2'!E45</f>
        <v>2.1630582743238647E-2</v>
      </c>
      <c r="E20" s="89"/>
      <c r="F20" s="187" t="s">
        <v>296</v>
      </c>
      <c r="G20" s="186">
        <f>'2'!H45-'2'!H18</f>
        <v>-0.20823339598047244</v>
      </c>
      <c r="H20" s="88" t="str">
        <f t="shared" si="1"/>
        <v/>
      </c>
      <c r="I20" s="187" t="s">
        <v>296</v>
      </c>
      <c r="J20" s="186">
        <f>'2'!L18-'2'!L45</f>
        <v>0.16779949923336915</v>
      </c>
      <c r="K20" s="88" t="str">
        <f t="shared" si="3"/>
        <v/>
      </c>
    </row>
    <row r="21" spans="1:11" ht="30" x14ac:dyDescent="0.25">
      <c r="A21" s="82">
        <v>16</v>
      </c>
      <c r="B21" s="91" t="s">
        <v>299</v>
      </c>
      <c r="C21" s="187" t="s">
        <v>296</v>
      </c>
      <c r="D21" s="186">
        <f>'2'!E19-'2'!E46</f>
        <v>3.9575674009602514E-4</v>
      </c>
      <c r="E21" s="89" t="s">
        <v>298</v>
      </c>
      <c r="F21" s="187" t="s">
        <v>296</v>
      </c>
      <c r="G21" s="186">
        <f>'2'!H19-'2'!H46</f>
        <v>3.2466271425038575E-4</v>
      </c>
      <c r="H21" s="92" t="s">
        <v>298</v>
      </c>
      <c r="I21" s="187" t="s">
        <v>296</v>
      </c>
      <c r="J21" s="186">
        <f>'2'!L19-'2'!L46</f>
        <v>8.2160149649616789E-3</v>
      </c>
      <c r="K21" s="92" t="s">
        <v>298</v>
      </c>
    </row>
    <row r="22" spans="1:11" ht="30" x14ac:dyDescent="0.25">
      <c r="A22" s="82">
        <v>18</v>
      </c>
      <c r="B22" s="91" t="s">
        <v>341</v>
      </c>
      <c r="C22" s="187" t="s">
        <v>296</v>
      </c>
      <c r="D22" s="186">
        <f>'2'!E21-'2'!E48</f>
        <v>5.4297973333791161E-3</v>
      </c>
      <c r="E22" s="89"/>
      <c r="F22" s="187" t="s">
        <v>296</v>
      </c>
      <c r="G22" s="186">
        <f>'2'!H21-'2'!H48</f>
        <v>1.0314645557066817</v>
      </c>
      <c r="H22" s="88" t="str">
        <f t="shared" si="1"/>
        <v/>
      </c>
      <c r="I22" s="187" t="s">
        <v>296</v>
      </c>
      <c r="J22" s="186">
        <f>'2'!L21-'2'!L48</f>
        <v>1.3741051331724208</v>
      </c>
      <c r="K22" s="88" t="str">
        <f t="shared" ref="K22:K25" si="4">IFERROR((I22-J22)/I22,"")</f>
        <v/>
      </c>
    </row>
    <row r="23" spans="1:11" ht="37.5" customHeight="1" x14ac:dyDescent="0.25">
      <c r="A23" s="82">
        <v>19</v>
      </c>
      <c r="B23" s="93" t="s">
        <v>300</v>
      </c>
      <c r="C23" s="187">
        <f>88232.28/1000</f>
        <v>88.232280000000003</v>
      </c>
      <c r="D23" s="186" t="s">
        <v>301</v>
      </c>
      <c r="E23" s="89"/>
      <c r="F23" s="187">
        <f>130104.3/1000</f>
        <v>130.10429999999999</v>
      </c>
      <c r="G23" s="186" t="s">
        <v>301</v>
      </c>
      <c r="H23" s="88" t="str">
        <f t="shared" si="1"/>
        <v/>
      </c>
      <c r="I23" s="187">
        <v>129.30000000000001</v>
      </c>
      <c r="J23" s="186" t="s">
        <v>301</v>
      </c>
      <c r="K23" s="88" t="str">
        <f t="shared" si="4"/>
        <v/>
      </c>
    </row>
    <row r="24" spans="1:11" ht="39" customHeight="1" x14ac:dyDescent="0.25">
      <c r="A24" s="82">
        <v>20</v>
      </c>
      <c r="B24" s="93" t="s">
        <v>322</v>
      </c>
      <c r="C24" s="90"/>
      <c r="D24" s="84"/>
      <c r="E24" s="89"/>
      <c r="F24" s="90"/>
      <c r="G24" s="84"/>
      <c r="H24" s="88"/>
      <c r="I24" s="187">
        <v>3.26</v>
      </c>
      <c r="J24" s="186"/>
      <c r="K24" s="88"/>
    </row>
    <row r="25" spans="1:11" ht="60" x14ac:dyDescent="0.25">
      <c r="A25" s="94"/>
      <c r="B25" s="95" t="s">
        <v>302</v>
      </c>
      <c r="C25" s="96">
        <f>SUM(C5:C23)</f>
        <v>446.39166</v>
      </c>
      <c r="D25" s="96">
        <f>SUM(D5:D23)</f>
        <v>358.33311882120495</v>
      </c>
      <c r="E25" s="97">
        <f>(C25-D25)/C25</f>
        <v>0.19726744262828533</v>
      </c>
      <c r="F25" s="96">
        <f>SUM(F5:F23)</f>
        <v>511.26213000000007</v>
      </c>
      <c r="G25" s="96">
        <f>SUM(G5:G22)</f>
        <v>478.49389756240794</v>
      </c>
      <c r="H25" s="98">
        <f t="shared" si="1"/>
        <v>6.4092821499593819E-2</v>
      </c>
      <c r="I25" s="96">
        <f>SUM(I5:I24)</f>
        <v>593.49059999999997</v>
      </c>
      <c r="J25" s="96">
        <f>SUM(J5:J22)</f>
        <v>615.12524817150495</v>
      </c>
      <c r="K25" s="98">
        <f t="shared" si="4"/>
        <v>-3.6453228023333444E-2</v>
      </c>
    </row>
    <row r="26" spans="1:11" ht="30" x14ac:dyDescent="0.25">
      <c r="A26" s="99"/>
      <c r="B26" s="100" t="s">
        <v>303</v>
      </c>
      <c r="C26" s="101"/>
      <c r="D26" s="102">
        <f>1-(D25/C25)</f>
        <v>0.19726744262828533</v>
      </c>
      <c r="E26" s="103"/>
      <c r="F26" s="103"/>
      <c r="G26" s="104">
        <f>1-(G25/F25)</f>
        <v>6.4092821499593833E-2</v>
      </c>
      <c r="H26" s="105"/>
      <c r="I26" s="103"/>
      <c r="J26" s="104">
        <f>1-(J25/I25)</f>
        <v>-3.6453228023333395E-2</v>
      </c>
      <c r="K26" s="105"/>
    </row>
    <row r="27" spans="1:11" x14ac:dyDescent="0.25">
      <c r="A27" s="28"/>
      <c r="B27" s="28"/>
      <c r="C27" s="28"/>
      <c r="D27" s="106"/>
      <c r="E27" s="107"/>
      <c r="F27" s="28"/>
      <c r="G27" s="28"/>
    </row>
    <row r="28" spans="1:11" ht="48.75" customHeight="1" x14ac:dyDescent="0.25">
      <c r="A28" s="28"/>
      <c r="B28" s="28"/>
      <c r="C28" s="28"/>
      <c r="D28" s="28"/>
      <c r="E28" s="28"/>
      <c r="F28" s="28"/>
      <c r="G28" s="28"/>
    </row>
    <row r="29" spans="1:11" ht="105" x14ac:dyDescent="0.25">
      <c r="A29" s="28"/>
      <c r="B29" s="108" t="s">
        <v>304</v>
      </c>
      <c r="C29" s="109">
        <f>C5+C7+C11</f>
        <v>153.62324000000001</v>
      </c>
      <c r="D29" s="109">
        <f>D5+D7+D12</f>
        <v>129.23504309095054</v>
      </c>
      <c r="E29" s="110">
        <f>(C29-D29)/C29</f>
        <v>0.15875330392100484</v>
      </c>
      <c r="F29" s="109">
        <f>F5+F7+F12</f>
        <v>117.93272</v>
      </c>
      <c r="G29" s="109">
        <f>G5+G7+G12</f>
        <v>179.77289241022319</v>
      </c>
      <c r="H29" s="110">
        <f>(F29-G29)/F29</f>
        <v>-0.52436823648452424</v>
      </c>
      <c r="I29" s="109">
        <f>I5+I7+I12</f>
        <v>164.94606000000002</v>
      </c>
      <c r="J29" s="109">
        <f>J5+J7+J12</f>
        <v>224.96369699987395</v>
      </c>
      <c r="K29" s="110">
        <f>(I29-J29)/I29</f>
        <v>-0.36386220440714934</v>
      </c>
    </row>
    <row r="30" spans="1:11" ht="66" customHeight="1" x14ac:dyDescent="0.25">
      <c r="A30" s="28"/>
      <c r="B30" s="28"/>
      <c r="C30" s="28"/>
      <c r="D30" s="28"/>
      <c r="E30" s="28"/>
      <c r="F30" s="28"/>
      <c r="G30" s="28"/>
    </row>
    <row r="31" spans="1:11" ht="45.75" customHeight="1" x14ac:dyDescent="0.25">
      <c r="A31" s="111" t="s">
        <v>305</v>
      </c>
      <c r="B31" s="28" t="s">
        <v>306</v>
      </c>
      <c r="C31" s="28"/>
      <c r="D31" s="28"/>
      <c r="E31" s="28"/>
      <c r="F31" s="28"/>
      <c r="G31" s="28"/>
    </row>
    <row r="32" spans="1:11" ht="41.25" customHeight="1" x14ac:dyDescent="0.25">
      <c r="A32" s="112" t="s">
        <v>298</v>
      </c>
      <c r="B32" s="112" t="s">
        <v>307</v>
      </c>
      <c r="C32" s="28"/>
      <c r="D32" s="28"/>
      <c r="E32" s="28"/>
      <c r="F32" s="28"/>
      <c r="G32" s="28"/>
    </row>
    <row r="33" spans="1:12" ht="45" customHeight="1" x14ac:dyDescent="0.25">
      <c r="A33" s="112" t="s">
        <v>308</v>
      </c>
      <c r="B33" s="112" t="s">
        <v>309</v>
      </c>
      <c r="C33" s="28"/>
      <c r="D33" s="28"/>
      <c r="E33" s="28"/>
      <c r="F33" s="28"/>
      <c r="G33" s="28"/>
    </row>
    <row r="34" spans="1:12" ht="60" x14ac:dyDescent="0.25">
      <c r="A34" s="28" t="s">
        <v>333</v>
      </c>
      <c r="B34" s="112" t="s">
        <v>311</v>
      </c>
      <c r="C34" s="28"/>
      <c r="D34" s="28"/>
      <c r="E34" s="28"/>
      <c r="F34" s="28"/>
      <c r="G34" s="28"/>
    </row>
    <row r="35" spans="1:12" x14ac:dyDescent="0.25">
      <c r="A35" s="28"/>
      <c r="B35" s="113" t="s">
        <v>312</v>
      </c>
      <c r="C35" s="28"/>
      <c r="D35" s="28"/>
      <c r="E35" s="28"/>
      <c r="F35" s="28"/>
      <c r="G35" s="28"/>
    </row>
    <row r="36" spans="1:12" x14ac:dyDescent="0.25">
      <c r="B36" s="114" t="s">
        <v>313</v>
      </c>
    </row>
    <row r="37" spans="1:12" x14ac:dyDescent="0.25">
      <c r="B37" s="114" t="s">
        <v>314</v>
      </c>
    </row>
    <row r="38" spans="1:12" x14ac:dyDescent="0.25">
      <c r="B38" s="114" t="s">
        <v>315</v>
      </c>
    </row>
    <row r="39" spans="1:12" x14ac:dyDescent="0.25">
      <c r="B39" s="114" t="s">
        <v>316</v>
      </c>
    </row>
    <row r="40" spans="1:12" x14ac:dyDescent="0.25">
      <c r="B40" s="114" t="s">
        <v>317</v>
      </c>
    </row>
    <row r="41" spans="1:12" x14ac:dyDescent="0.25">
      <c r="B41" s="114" t="s">
        <v>318</v>
      </c>
    </row>
    <row r="42" spans="1:12" x14ac:dyDescent="0.25">
      <c r="A42" s="1" t="s">
        <v>310</v>
      </c>
      <c r="B42" s="114" t="s">
        <v>332</v>
      </c>
    </row>
    <row r="43" spans="1:12" x14ac:dyDescent="0.25">
      <c r="A43" s="162" t="s">
        <v>310</v>
      </c>
      <c r="B43" s="162" t="s">
        <v>334</v>
      </c>
      <c r="C43" s="162"/>
      <c r="D43" s="162"/>
      <c r="E43" s="162"/>
      <c r="F43" s="162"/>
      <c r="G43" s="162"/>
      <c r="H43" s="162"/>
      <c r="I43" s="162"/>
      <c r="J43" s="162"/>
      <c r="K43" s="162"/>
      <c r="L43" s="162"/>
    </row>
    <row r="44" spans="1:12" x14ac:dyDescent="0.25">
      <c r="A44" s="115" t="s">
        <v>296</v>
      </c>
      <c r="B44" s="115" t="s">
        <v>319</v>
      </c>
    </row>
    <row r="45" spans="1:12" x14ac:dyDescent="0.25">
      <c r="A45" s="115" t="s">
        <v>301</v>
      </c>
      <c r="B45" s="115" t="s">
        <v>320</v>
      </c>
    </row>
  </sheetData>
  <mergeCells count="6">
    <mergeCell ref="K3:K4"/>
    <mergeCell ref="I18:I19"/>
    <mergeCell ref="A3:B3"/>
    <mergeCell ref="E3:E4"/>
    <mergeCell ref="H3:H4"/>
    <mergeCell ref="C11:C1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989B-0130-43B8-9A42-29BDA6C81164}">
  <dimension ref="A1:P22"/>
  <sheetViews>
    <sheetView workbookViewId="0">
      <selection activeCell="D5" sqref="D5"/>
    </sheetView>
  </sheetViews>
  <sheetFormatPr defaultColWidth="9.140625" defaultRowHeight="15" x14ac:dyDescent="0.25"/>
  <cols>
    <col min="1" max="1" width="9.140625" style="1"/>
    <col min="2" max="2" width="11" style="1" customWidth="1"/>
    <col min="3" max="3" width="12.140625" style="1" customWidth="1"/>
    <col min="4" max="4" width="10.28515625" style="1" customWidth="1"/>
    <col min="5" max="5" width="10.5703125" style="1" customWidth="1"/>
    <col min="6" max="6" width="10.42578125" style="1" customWidth="1"/>
    <col min="7" max="16384" width="9.140625" style="1"/>
  </cols>
  <sheetData>
    <row r="1" spans="2:6" x14ac:dyDescent="0.25">
      <c r="B1" s="70" t="s">
        <v>330</v>
      </c>
      <c r="C1" s="68"/>
      <c r="D1" s="68"/>
      <c r="E1" s="68"/>
      <c r="F1" s="68"/>
    </row>
    <row r="2" spans="2:6" ht="15.75" thickBot="1" x14ac:dyDescent="0.3">
      <c r="B2" s="182"/>
    </row>
    <row r="3" spans="2:6" ht="15.75" thickBot="1" x14ac:dyDescent="0.3">
      <c r="B3" s="219" t="s">
        <v>349</v>
      </c>
      <c r="C3" s="220"/>
      <c r="D3" s="220"/>
      <c r="E3" s="220"/>
      <c r="F3" s="221"/>
    </row>
    <row r="4" spans="2:6" ht="42" customHeight="1" x14ac:dyDescent="0.25">
      <c r="B4" s="180" t="s">
        <v>331</v>
      </c>
      <c r="C4" s="181" t="s">
        <v>345</v>
      </c>
      <c r="D4" s="181" t="s">
        <v>346</v>
      </c>
      <c r="E4" s="181" t="s">
        <v>347</v>
      </c>
      <c r="F4" s="181" t="s">
        <v>348</v>
      </c>
    </row>
    <row r="5" spans="2:6" x14ac:dyDescent="0.25">
      <c r="B5" s="76" t="s">
        <v>343</v>
      </c>
      <c r="C5" s="116">
        <f>'4'!D25</f>
        <v>358.33311882120495</v>
      </c>
      <c r="D5" s="116">
        <f>'4'!C25</f>
        <v>446.39166</v>
      </c>
      <c r="E5" s="36"/>
      <c r="F5" s="36"/>
    </row>
    <row r="6" spans="2:6" x14ac:dyDescent="0.25">
      <c r="B6" s="76" t="s">
        <v>344</v>
      </c>
      <c r="C6" s="116">
        <f>'4'!G25</f>
        <v>478.49389756240794</v>
      </c>
      <c r="D6" s="36"/>
      <c r="E6" s="116">
        <f>'4'!F25</f>
        <v>511.26213000000007</v>
      </c>
      <c r="F6" s="116"/>
    </row>
    <row r="7" spans="2:6" x14ac:dyDescent="0.25">
      <c r="B7" s="76" t="s">
        <v>350</v>
      </c>
      <c r="C7" s="116">
        <f>'4'!J25</f>
        <v>615.12524817150495</v>
      </c>
      <c r="D7" s="36"/>
      <c r="E7" s="36"/>
      <c r="F7" s="185">
        <f>'4'!I25</f>
        <v>593.49059999999997</v>
      </c>
    </row>
    <row r="9" spans="2:6" x14ac:dyDescent="0.25">
      <c r="C9" s="183"/>
      <c r="D9" s="183"/>
    </row>
    <row r="10" spans="2:6" x14ac:dyDescent="0.25">
      <c r="C10" s="183"/>
      <c r="D10" s="183"/>
    </row>
    <row r="13" spans="2:6" x14ac:dyDescent="0.25">
      <c r="E13" s="183"/>
      <c r="F13" s="183"/>
    </row>
    <row r="14" spans="2:6" x14ac:dyDescent="0.25">
      <c r="E14" s="183"/>
      <c r="F14" s="183"/>
    </row>
    <row r="17" spans="1:16" x14ac:dyDescent="0.25">
      <c r="B17" s="183" t="s">
        <v>332</v>
      </c>
    </row>
    <row r="18" spans="1:16" x14ac:dyDescent="0.25">
      <c r="B18" s="183" t="s">
        <v>334</v>
      </c>
    </row>
    <row r="21" spans="1:16" x14ac:dyDescent="0.25">
      <c r="A21" s="183" t="s">
        <v>310</v>
      </c>
      <c r="G21" s="183"/>
      <c r="H21" s="183"/>
      <c r="I21" s="183"/>
      <c r="J21" s="183"/>
      <c r="K21" s="183"/>
      <c r="L21" s="183"/>
      <c r="M21" s="183"/>
      <c r="N21" s="183"/>
      <c r="O21" s="183"/>
      <c r="P21" s="183"/>
    </row>
    <row r="22" spans="1:16" x14ac:dyDescent="0.25">
      <c r="A22" s="183" t="s">
        <v>308</v>
      </c>
      <c r="G22" s="183"/>
      <c r="H22" s="183"/>
      <c r="I22" s="183"/>
      <c r="J22" s="183"/>
      <c r="K22" s="183"/>
      <c r="L22" s="183"/>
      <c r="M22" s="183"/>
      <c r="N22" s="183"/>
      <c r="O22" s="183"/>
      <c r="P22" s="183"/>
    </row>
  </sheetData>
  <mergeCells count="1">
    <mergeCell ref="B3:F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A1C4-2669-4C50-924B-6BD1E86AEAE2}">
  <dimension ref="A1:M20"/>
  <sheetViews>
    <sheetView zoomScale="90" zoomScaleNormal="90" workbookViewId="0">
      <selection activeCell="B4" sqref="B4"/>
    </sheetView>
  </sheetViews>
  <sheetFormatPr defaultColWidth="9.140625" defaultRowHeight="15" x14ac:dyDescent="0.25"/>
  <cols>
    <col min="1" max="1" width="17.140625" style="1" customWidth="1"/>
    <col min="2" max="11" width="11.28515625" style="1" bestFit="1" customWidth="1"/>
    <col min="12" max="13" width="13.28515625" style="1" customWidth="1"/>
    <col min="14" max="16384" width="9.140625" style="1"/>
  </cols>
  <sheetData>
    <row r="1" spans="1:13" x14ac:dyDescent="0.25">
      <c r="A1" s="161" t="s">
        <v>237</v>
      </c>
      <c r="B1" s="70"/>
      <c r="C1" s="70"/>
      <c r="D1" s="68"/>
      <c r="E1" s="68"/>
    </row>
    <row r="2" spans="1:13" x14ac:dyDescent="0.25">
      <c r="A2" s="36"/>
      <c r="B2" s="117" t="s">
        <v>31</v>
      </c>
      <c r="C2" s="117" t="s">
        <v>32</v>
      </c>
      <c r="D2" s="117" t="s">
        <v>33</v>
      </c>
      <c r="E2" s="117" t="s">
        <v>34</v>
      </c>
      <c r="F2" s="117" t="s">
        <v>35</v>
      </c>
      <c r="G2" s="117" t="s">
        <v>36</v>
      </c>
      <c r="H2" s="117" t="s">
        <v>37</v>
      </c>
      <c r="I2" s="117" t="s">
        <v>38</v>
      </c>
      <c r="J2" s="117" t="s">
        <v>39</v>
      </c>
      <c r="K2" s="117" t="s">
        <v>40</v>
      </c>
      <c r="L2" s="117" t="s">
        <v>241</v>
      </c>
      <c r="M2" s="117" t="s">
        <v>242</v>
      </c>
    </row>
    <row r="3" spans="1:13" x14ac:dyDescent="0.25">
      <c r="A3" s="118" t="s">
        <v>41</v>
      </c>
      <c r="B3" s="222" t="s">
        <v>246</v>
      </c>
      <c r="C3" s="223"/>
      <c r="D3" s="223"/>
      <c r="E3" s="223"/>
      <c r="F3" s="223"/>
      <c r="G3" s="223"/>
      <c r="H3" s="223"/>
      <c r="I3" s="223"/>
      <c r="J3" s="223"/>
      <c r="K3" s="223"/>
      <c r="L3" s="223"/>
      <c r="M3" s="224"/>
    </row>
    <row r="4" spans="1:13" x14ac:dyDescent="0.25">
      <c r="A4" s="119" t="s">
        <v>51</v>
      </c>
      <c r="B4" s="120">
        <v>22667358.487139694</v>
      </c>
      <c r="C4" s="120">
        <v>26836457.145538636</v>
      </c>
      <c r="D4" s="121">
        <v>30961194.145477559</v>
      </c>
      <c r="E4" s="121">
        <v>32079027.496746473</v>
      </c>
      <c r="F4" s="121">
        <v>36645060.641171016</v>
      </c>
      <c r="G4" s="121">
        <v>42265984.456859902</v>
      </c>
      <c r="H4" s="121">
        <v>43892776.979035921</v>
      </c>
      <c r="I4" s="121">
        <v>46120786.294259913</v>
      </c>
      <c r="J4" s="121">
        <v>44569608.378416874</v>
      </c>
      <c r="K4" s="121">
        <v>44854285.472359397</v>
      </c>
      <c r="L4" s="121">
        <v>51172889.855999976</v>
      </c>
      <c r="M4" s="121">
        <v>54094590.720000006</v>
      </c>
    </row>
    <row r="5" spans="1:13" x14ac:dyDescent="0.25">
      <c r="A5" s="119" t="s">
        <v>55</v>
      </c>
      <c r="B5" s="120">
        <v>146646.35393868349</v>
      </c>
      <c r="C5" s="120">
        <v>760633.79010158125</v>
      </c>
      <c r="D5" s="121">
        <v>146571.90669766784</v>
      </c>
      <c r="E5" s="121">
        <v>880378.26447516412</v>
      </c>
      <c r="F5" s="121">
        <v>667761.82304974948</v>
      </c>
      <c r="G5" s="121">
        <v>1210373.0898795151</v>
      </c>
      <c r="H5" s="121">
        <v>738978.07143802301</v>
      </c>
      <c r="I5" s="121">
        <v>1013771.3332644403</v>
      </c>
      <c r="J5" s="121">
        <v>1489575.672601054</v>
      </c>
      <c r="K5" s="121">
        <v>2345205.9669546867</v>
      </c>
      <c r="L5" s="121">
        <v>1691142.5705868448</v>
      </c>
      <c r="M5" s="121">
        <v>2459307.0454793791</v>
      </c>
    </row>
    <row r="6" spans="1:13" x14ac:dyDescent="0.25">
      <c r="A6" s="119" t="s">
        <v>57</v>
      </c>
      <c r="B6" s="120">
        <v>3602670.1102087148</v>
      </c>
      <c r="C6" s="120">
        <v>3992634.3559251176</v>
      </c>
      <c r="D6" s="121">
        <v>3686882.2376055224</v>
      </c>
      <c r="E6" s="121">
        <v>3806699.817437504</v>
      </c>
      <c r="F6" s="121">
        <v>3999748.4498177073</v>
      </c>
      <c r="G6" s="121">
        <v>4244811.4611424785</v>
      </c>
      <c r="H6" s="121">
        <v>4631423.804342255</v>
      </c>
      <c r="I6" s="121">
        <v>4857100.3032450872</v>
      </c>
      <c r="J6" s="121">
        <v>5475516.5142322183</v>
      </c>
      <c r="K6" s="121">
        <v>5141936.3336344119</v>
      </c>
      <c r="L6" s="121">
        <v>5230346.1902793823</v>
      </c>
      <c r="M6" s="121">
        <v>5659763.8287530094</v>
      </c>
    </row>
    <row r="7" spans="1:13" x14ac:dyDescent="0.25">
      <c r="A7" s="119" t="s">
        <v>61</v>
      </c>
      <c r="B7" s="120">
        <v>96138179.116832986</v>
      </c>
      <c r="C7" s="120">
        <v>95216905.210400209</v>
      </c>
      <c r="D7" s="121">
        <v>113368810.9435192</v>
      </c>
      <c r="E7" s="121">
        <v>148936127.02152056</v>
      </c>
      <c r="F7" s="121">
        <v>146251137.59140307</v>
      </c>
      <c r="G7" s="121">
        <v>178043581.44673347</v>
      </c>
      <c r="H7" s="121">
        <v>190605715.94745457</v>
      </c>
      <c r="I7" s="121">
        <v>185006242.37169674</v>
      </c>
      <c r="J7" s="121">
        <v>205670527.82515356</v>
      </c>
      <c r="K7" s="121">
        <v>207979590.63425982</v>
      </c>
      <c r="L7" s="121">
        <v>218898149.25356734</v>
      </c>
      <c r="M7" s="121">
        <v>185972006.80152366</v>
      </c>
    </row>
    <row r="8" spans="1:13" x14ac:dyDescent="0.25">
      <c r="A8" s="119" t="s">
        <v>63</v>
      </c>
      <c r="B8" s="120">
        <v>19435449.807749867</v>
      </c>
      <c r="C8" s="120">
        <v>19217057.018983867</v>
      </c>
      <c r="D8" s="121">
        <v>26202306.48409684</v>
      </c>
      <c r="E8" s="121">
        <v>25839156.930755973</v>
      </c>
      <c r="F8" s="121">
        <v>27352637.464569807</v>
      </c>
      <c r="G8" s="121">
        <v>24482703.747606549</v>
      </c>
      <c r="H8" s="121">
        <v>30923708.083535295</v>
      </c>
      <c r="I8" s="121">
        <v>43396588.395110175</v>
      </c>
      <c r="J8" s="121">
        <v>46950232.099306628</v>
      </c>
      <c r="K8" s="121">
        <v>34496724.29859639</v>
      </c>
      <c r="L8" s="121">
        <v>36304666.3273772</v>
      </c>
      <c r="M8" s="121">
        <v>50117386.998947427</v>
      </c>
    </row>
    <row r="9" spans="1:13" x14ac:dyDescent="0.25">
      <c r="A9" s="119" t="s">
        <v>65</v>
      </c>
      <c r="B9" s="120">
        <v>18291782.133700956</v>
      </c>
      <c r="C9" s="120">
        <v>16304437.202706281</v>
      </c>
      <c r="D9" s="121">
        <v>20237871.711469762</v>
      </c>
      <c r="E9" s="121">
        <v>22650579.852791682</v>
      </c>
      <c r="F9" s="121">
        <v>27788001.733008377</v>
      </c>
      <c r="G9" s="121">
        <v>28837005.342153955</v>
      </c>
      <c r="H9" s="121">
        <v>22650693.875907704</v>
      </c>
      <c r="I9" s="121">
        <v>24051810.117167559</v>
      </c>
      <c r="J9" s="121">
        <v>31503271.552604929</v>
      </c>
      <c r="K9" s="121">
        <v>37085506.463576108</v>
      </c>
      <c r="L9" s="121">
        <v>49500785.397250235</v>
      </c>
      <c r="M9" s="121">
        <v>32972043.628388792</v>
      </c>
    </row>
    <row r="10" spans="1:13" x14ac:dyDescent="0.25">
      <c r="A10" s="119" t="s">
        <v>67</v>
      </c>
      <c r="B10" s="120">
        <v>9267048.86708121</v>
      </c>
      <c r="C10" s="120">
        <v>10127996.154765829</v>
      </c>
      <c r="D10" s="121">
        <v>9705154.3929606974</v>
      </c>
      <c r="E10" s="121">
        <v>10156719.640105292</v>
      </c>
      <c r="F10" s="121">
        <v>9998415.0186252147</v>
      </c>
      <c r="G10" s="121">
        <v>10030716.826342739</v>
      </c>
      <c r="H10" s="121">
        <v>11089382.836219441</v>
      </c>
      <c r="I10" s="121">
        <v>10888521.70832286</v>
      </c>
      <c r="J10" s="121">
        <v>12671851.467705017</v>
      </c>
      <c r="K10" s="121">
        <v>13826915.842632826</v>
      </c>
      <c r="L10" s="121">
        <v>14755116.676000984</v>
      </c>
      <c r="M10" s="121">
        <v>11928364.750040909</v>
      </c>
    </row>
    <row r="11" spans="1:13" x14ac:dyDescent="0.25">
      <c r="A11" s="119" t="s">
        <v>69</v>
      </c>
      <c r="B11" s="120">
        <v>6830145.4250241444</v>
      </c>
      <c r="C11" s="120">
        <v>7498162.4203434912</v>
      </c>
      <c r="D11" s="121">
        <v>7689661.0383574963</v>
      </c>
      <c r="E11" s="121">
        <v>6538431.0574349463</v>
      </c>
      <c r="F11" s="121">
        <v>9010802.5256143659</v>
      </c>
      <c r="G11" s="121">
        <v>11558877.728617813</v>
      </c>
      <c r="H11" s="121">
        <v>8688775.6035744771</v>
      </c>
      <c r="I11" s="121">
        <v>8632434.7236214206</v>
      </c>
      <c r="J11" s="121">
        <v>9949863.0571653582</v>
      </c>
      <c r="K11" s="121">
        <v>9940085.784320889</v>
      </c>
      <c r="L11" s="121">
        <v>12392475.787046265</v>
      </c>
      <c r="M11" s="121">
        <v>8525475.1712462474</v>
      </c>
    </row>
    <row r="12" spans="1:13" x14ac:dyDescent="0.25">
      <c r="A12" s="119" t="s">
        <v>71</v>
      </c>
      <c r="B12" s="120">
        <v>45110593.353037477</v>
      </c>
      <c r="C12" s="120">
        <v>44697710.677299671</v>
      </c>
      <c r="D12" s="121">
        <v>51211069.154827088</v>
      </c>
      <c r="E12" s="121">
        <v>57822469.626241118</v>
      </c>
      <c r="F12" s="121">
        <v>60925366.213609971</v>
      </c>
      <c r="G12" s="121">
        <v>67583233.323892564</v>
      </c>
      <c r="H12" s="121">
        <v>71927017.063594207</v>
      </c>
      <c r="I12" s="121">
        <v>74134723.674830884</v>
      </c>
      <c r="J12" s="121">
        <v>83550581.039804071</v>
      </c>
      <c r="K12" s="121">
        <v>81292529.061304674</v>
      </c>
      <c r="L12" s="121">
        <v>85416217.757056013</v>
      </c>
      <c r="M12" s="121">
        <v>70367187.093098179</v>
      </c>
    </row>
    <row r="13" spans="1:13" x14ac:dyDescent="0.25">
      <c r="A13" s="119" t="s">
        <v>73</v>
      </c>
      <c r="B13" s="120">
        <v>1208463.4978737086</v>
      </c>
      <c r="C13" s="120">
        <v>1615506.4973530024</v>
      </c>
      <c r="D13" s="121">
        <v>1457374.654943496</v>
      </c>
      <c r="E13" s="121">
        <v>1822807.1530643832</v>
      </c>
      <c r="F13" s="121">
        <v>1888114.9464482665</v>
      </c>
      <c r="G13" s="121">
        <v>2359473.3838632107</v>
      </c>
      <c r="H13" s="121">
        <v>2467023.8205860443</v>
      </c>
      <c r="I13" s="121">
        <v>2723426.358262822</v>
      </c>
      <c r="J13" s="121">
        <v>4037537.3073848477</v>
      </c>
      <c r="K13" s="121">
        <v>2548210.5518091517</v>
      </c>
      <c r="L13" s="121">
        <v>2614474.4424840668</v>
      </c>
      <c r="M13" s="121">
        <v>1795605.7728275436</v>
      </c>
    </row>
    <row r="14" spans="1:13" x14ac:dyDescent="0.25">
      <c r="A14" s="119" t="s">
        <v>75</v>
      </c>
      <c r="B14" s="120">
        <v>4698781.8659001067</v>
      </c>
      <c r="C14" s="120">
        <v>4006678.58549916</v>
      </c>
      <c r="D14" s="121">
        <v>5992967.6164025208</v>
      </c>
      <c r="E14" s="121">
        <v>4543697.6199615132</v>
      </c>
      <c r="F14" s="121">
        <v>5082039.382480301</v>
      </c>
      <c r="G14" s="121">
        <v>9860490.5511285085</v>
      </c>
      <c r="H14" s="121">
        <v>3604555.6685311049</v>
      </c>
      <c r="I14" s="121">
        <v>4144866.2921394175</v>
      </c>
      <c r="J14" s="121">
        <v>11198827.24222872</v>
      </c>
      <c r="K14" s="121">
        <v>8857700.5084036365</v>
      </c>
      <c r="L14" s="121">
        <v>3190054.4590764283</v>
      </c>
      <c r="M14" s="121">
        <v>2832341.7826264938</v>
      </c>
    </row>
    <row r="15" spans="1:13" x14ac:dyDescent="0.25">
      <c r="A15" s="119" t="s">
        <v>77</v>
      </c>
      <c r="B15" s="120">
        <v>22137.213684082031</v>
      </c>
      <c r="C15" s="120">
        <v>24438.735457420349</v>
      </c>
      <c r="D15" s="121">
        <v>11146.472839355469</v>
      </c>
      <c r="E15" s="121">
        <v>9087.7149791717529</v>
      </c>
      <c r="F15" s="121">
        <v>17791.927363634109</v>
      </c>
      <c r="G15" s="121">
        <v>61114.6642537117</v>
      </c>
      <c r="H15" s="121">
        <v>58642.090149745345</v>
      </c>
      <c r="I15" s="121">
        <v>65635.681179976091</v>
      </c>
      <c r="J15" s="121">
        <v>45597.454362869263</v>
      </c>
      <c r="K15" s="121">
        <v>36107.006820678711</v>
      </c>
      <c r="L15" s="121">
        <v>124972.85252380371</v>
      </c>
      <c r="M15" s="121">
        <v>63377.288835203275</v>
      </c>
    </row>
    <row r="16" spans="1:13" x14ac:dyDescent="0.25">
      <c r="A16" s="119" t="s">
        <v>79</v>
      </c>
      <c r="B16" s="120">
        <v>156315.63218563795</v>
      </c>
      <c r="C16" s="120">
        <v>162023.82545125484</v>
      </c>
      <c r="D16" s="121">
        <v>182032.81403055787</v>
      </c>
      <c r="E16" s="121">
        <v>98962.414319887757</v>
      </c>
      <c r="F16" s="121">
        <v>225911.28117857873</v>
      </c>
      <c r="G16" s="121">
        <v>275649.44920271635</v>
      </c>
      <c r="H16" s="121">
        <v>249082.5637719864</v>
      </c>
      <c r="I16" s="121">
        <v>219296.55601385236</v>
      </c>
      <c r="J16" s="121">
        <v>369920.11472544447</v>
      </c>
      <c r="K16" s="121">
        <v>234803.38622042106</v>
      </c>
      <c r="L16" s="121">
        <v>216415.03742485933</v>
      </c>
      <c r="M16" s="121">
        <v>170433.22449829924</v>
      </c>
    </row>
    <row r="17" spans="1:13" x14ac:dyDescent="0.25">
      <c r="A17" s="119" t="s">
        <v>81</v>
      </c>
      <c r="B17" s="120"/>
      <c r="C17" s="120"/>
      <c r="D17" s="121"/>
      <c r="E17" s="121">
        <v>527.78578186035156</v>
      </c>
      <c r="F17" s="121">
        <v>742974.63073378801</v>
      </c>
      <c r="G17" s="121">
        <v>1749.5306396484375</v>
      </c>
      <c r="H17" s="121"/>
      <c r="I17" s="121"/>
      <c r="J17" s="121">
        <v>9229.9347957733553</v>
      </c>
      <c r="K17" s="121">
        <v>0.22137162555009127</v>
      </c>
      <c r="L17" s="121">
        <v>10955.119522094727</v>
      </c>
      <c r="M17" s="121">
        <v>28.272672414779663</v>
      </c>
    </row>
    <row r="18" spans="1:13" x14ac:dyDescent="0.25">
      <c r="A18" s="119" t="s">
        <v>83</v>
      </c>
      <c r="B18" s="120">
        <v>9036598.9053532369</v>
      </c>
      <c r="C18" s="120">
        <v>8297758.4388939887</v>
      </c>
      <c r="D18" s="121">
        <v>9486604.7305600159</v>
      </c>
      <c r="E18" s="121">
        <v>9599287.1943257451</v>
      </c>
      <c r="F18" s="121">
        <v>12657880.22918205</v>
      </c>
      <c r="G18" s="121">
        <v>12696674.163077801</v>
      </c>
      <c r="H18" s="121">
        <v>13313978.21115079</v>
      </c>
      <c r="I18" s="121">
        <v>13540113.771101173</v>
      </c>
      <c r="J18" s="121">
        <v>16562040.205489658</v>
      </c>
      <c r="K18" s="121">
        <v>14867372.126340456</v>
      </c>
      <c r="L18" s="121">
        <v>18356452.965696573</v>
      </c>
      <c r="M18" s="121">
        <v>15930795.043383181</v>
      </c>
    </row>
    <row r="19" spans="1:13" x14ac:dyDescent="0.25">
      <c r="A19" s="119" t="s">
        <v>85</v>
      </c>
      <c r="B19" s="120">
        <v>646340.86366773536</v>
      </c>
      <c r="C19" s="120">
        <v>829963.04071262851</v>
      </c>
      <c r="D19" s="121">
        <v>632021.11319078808</v>
      </c>
      <c r="E19" s="121">
        <v>781603.59284931421</v>
      </c>
      <c r="F19" s="121">
        <v>1001033.6729927547</v>
      </c>
      <c r="G19" s="121">
        <v>2054959.5340773091</v>
      </c>
      <c r="H19" s="121">
        <v>1631800.8055063933</v>
      </c>
      <c r="I19" s="121">
        <v>2090754.2014713134</v>
      </c>
      <c r="J19" s="121">
        <v>3210123.1552395215</v>
      </c>
      <c r="K19" s="121">
        <v>2454731.1138094496</v>
      </c>
      <c r="L19" s="121">
        <v>3433344.934071782</v>
      </c>
      <c r="M19" s="121">
        <v>2537083.9756314456</v>
      </c>
    </row>
    <row r="20" spans="1:13" x14ac:dyDescent="0.25">
      <c r="A20" s="122" t="s">
        <v>238</v>
      </c>
      <c r="B20" s="123">
        <f>SUM(B4:B19)</f>
        <v>237258511.63337827</v>
      </c>
      <c r="C20" s="123">
        <f t="shared" ref="C20:M20" si="0">SUM(C4:C19)</f>
        <v>239588363.09943208</v>
      </c>
      <c r="D20" s="123">
        <f t="shared" si="0"/>
        <v>280971669.41697854</v>
      </c>
      <c r="E20" s="123">
        <f t="shared" si="0"/>
        <v>325565563.18279058</v>
      </c>
      <c r="F20" s="123">
        <f t="shared" si="0"/>
        <v>344254677.53124875</v>
      </c>
      <c r="G20" s="123">
        <f t="shared" si="0"/>
        <v>395567398.69947183</v>
      </c>
      <c r="H20" s="123">
        <f t="shared" si="0"/>
        <v>406473555.42479795</v>
      </c>
      <c r="I20" s="123">
        <f t="shared" si="0"/>
        <v>420886071.78168768</v>
      </c>
      <c r="J20" s="123">
        <f t="shared" si="0"/>
        <v>477264303.02121663</v>
      </c>
      <c r="K20" s="123">
        <f t="shared" si="0"/>
        <v>465961704.77241462</v>
      </c>
      <c r="L20" s="123">
        <f t="shared" si="0"/>
        <v>503308459.62596387</v>
      </c>
      <c r="M20" s="123">
        <f t="shared" si="0"/>
        <v>445425791.3979522</v>
      </c>
    </row>
  </sheetData>
  <mergeCells count="1">
    <mergeCell ref="B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9A36-F04A-4C92-B6D8-44116D9E5212}">
  <dimension ref="A1:M33"/>
  <sheetViews>
    <sheetView zoomScale="90" zoomScaleNormal="90" workbookViewId="0">
      <selection activeCell="M35" sqref="M35"/>
    </sheetView>
  </sheetViews>
  <sheetFormatPr defaultColWidth="9.140625" defaultRowHeight="15" x14ac:dyDescent="0.25"/>
  <cols>
    <col min="1" max="1" width="13.140625" style="1" customWidth="1"/>
    <col min="2" max="2" width="12.7109375" style="1" customWidth="1"/>
    <col min="3" max="3" width="12.42578125" style="1" customWidth="1"/>
    <col min="4" max="4" width="12.85546875" style="1" customWidth="1"/>
    <col min="5" max="6" width="12.140625" style="1" customWidth="1"/>
    <col min="7" max="7" width="13.5703125" style="1" customWidth="1"/>
    <col min="8" max="8" width="12.7109375" style="1" customWidth="1"/>
    <col min="9" max="9" width="12.140625" style="1" customWidth="1"/>
    <col min="10" max="10" width="12.28515625" style="1" customWidth="1"/>
    <col min="11" max="11" width="13.140625" style="1" customWidth="1"/>
    <col min="12" max="12" width="12.42578125" style="1" customWidth="1"/>
    <col min="13" max="13" width="13.28515625" style="1" customWidth="1"/>
    <col min="14" max="16384" width="9.140625" style="1"/>
  </cols>
  <sheetData>
    <row r="1" spans="1:13" x14ac:dyDescent="0.25">
      <c r="A1" s="160" t="s">
        <v>243</v>
      </c>
      <c r="B1" s="160"/>
      <c r="C1" s="160"/>
      <c r="D1" s="159"/>
      <c r="E1" s="159"/>
      <c r="F1" s="124"/>
      <c r="G1" s="124"/>
      <c r="H1" s="124"/>
      <c r="I1" s="124"/>
      <c r="J1" s="124"/>
      <c r="K1" s="124"/>
      <c r="L1" s="124"/>
      <c r="M1" s="124"/>
    </row>
    <row r="2" spans="1:13" ht="12" customHeight="1" x14ac:dyDescent="0.25">
      <c r="A2" s="125"/>
      <c r="B2" s="125"/>
      <c r="C2" s="125"/>
      <c r="D2" s="124"/>
      <c r="E2" s="124"/>
      <c r="F2" s="124"/>
      <c r="G2" s="124"/>
      <c r="H2" s="124"/>
      <c r="I2" s="124"/>
      <c r="J2" s="124"/>
      <c r="K2" s="124"/>
      <c r="L2" s="124"/>
      <c r="M2" s="124"/>
    </row>
    <row r="3" spans="1:13" x14ac:dyDescent="0.25">
      <c r="A3" s="126"/>
      <c r="B3" s="127" t="s">
        <v>31</v>
      </c>
      <c r="C3" s="127" t="s">
        <v>32</v>
      </c>
      <c r="D3" s="127" t="s">
        <v>33</v>
      </c>
      <c r="E3" s="127" t="s">
        <v>34</v>
      </c>
      <c r="F3" s="127" t="s">
        <v>35</v>
      </c>
      <c r="G3" s="127" t="s">
        <v>36</v>
      </c>
      <c r="H3" s="127" t="s">
        <v>37</v>
      </c>
      <c r="I3" s="127" t="s">
        <v>38</v>
      </c>
      <c r="J3" s="127" t="s">
        <v>39</v>
      </c>
      <c r="K3" s="127" t="s">
        <v>40</v>
      </c>
      <c r="L3" s="127" t="s">
        <v>239</v>
      </c>
      <c r="M3" s="127" t="s">
        <v>240</v>
      </c>
    </row>
    <row r="4" spans="1:13" x14ac:dyDescent="0.25">
      <c r="A4" s="128" t="s">
        <v>244</v>
      </c>
      <c r="B4" s="225" t="s">
        <v>246</v>
      </c>
      <c r="C4" s="226"/>
      <c r="D4" s="226"/>
      <c r="E4" s="226"/>
      <c r="F4" s="226"/>
      <c r="G4" s="226"/>
      <c r="H4" s="226"/>
      <c r="I4" s="226"/>
      <c r="J4" s="226"/>
      <c r="K4" s="226"/>
      <c r="L4" s="226"/>
      <c r="M4" s="227"/>
    </row>
    <row r="5" spans="1:13" x14ac:dyDescent="0.25">
      <c r="A5" s="129" t="s">
        <v>96</v>
      </c>
      <c r="B5" s="130">
        <v>54055064.400000006</v>
      </c>
      <c r="C5" s="130">
        <v>59798870.099999979</v>
      </c>
      <c r="D5" s="130">
        <v>63036872.700000003</v>
      </c>
      <c r="E5" s="130">
        <v>67775736.600000009</v>
      </c>
      <c r="F5" s="130">
        <v>74399703.036218911</v>
      </c>
      <c r="G5" s="130">
        <v>82156085.003089532</v>
      </c>
      <c r="H5" s="130">
        <v>86538788.261826381</v>
      </c>
      <c r="I5" s="130">
        <v>92161942.224169686</v>
      </c>
      <c r="J5" s="130">
        <v>93942513.264369369</v>
      </c>
      <c r="K5" s="130">
        <v>102579383.67752361</v>
      </c>
      <c r="L5" s="130">
        <v>110918102.05377197</v>
      </c>
      <c r="M5" s="130">
        <v>113269221.98304749</v>
      </c>
    </row>
    <row r="6" spans="1:13" x14ac:dyDescent="0.25">
      <c r="A6" s="129" t="s">
        <v>98</v>
      </c>
      <c r="B6" s="130">
        <v>921509.42823791504</v>
      </c>
      <c r="C6" s="130">
        <v>671255.0658275187</v>
      </c>
      <c r="D6" s="131">
        <v>855789.24282836914</v>
      </c>
      <c r="E6" s="131">
        <v>1129212.9314689636</v>
      </c>
      <c r="F6" s="131">
        <v>928059.57862281799</v>
      </c>
      <c r="G6" s="130">
        <v>1031571.9157266617</v>
      </c>
      <c r="H6" s="131">
        <v>1016447.5736999512</v>
      </c>
      <c r="I6" s="131">
        <v>957535.72750854492</v>
      </c>
      <c r="J6" s="131">
        <v>368824.40625</v>
      </c>
      <c r="K6" s="131">
        <v>2401090.1796875</v>
      </c>
      <c r="L6" s="131">
        <v>861157.02130126953</v>
      </c>
      <c r="M6" s="131">
        <v>1000885.4890441895</v>
      </c>
    </row>
    <row r="7" spans="1:13" x14ac:dyDescent="0.25">
      <c r="A7" s="129" t="s">
        <v>100</v>
      </c>
      <c r="B7" s="130">
        <v>417576.57062719762</v>
      </c>
      <c r="C7" s="130">
        <v>292363.30985882878</v>
      </c>
      <c r="D7" s="131">
        <v>766044.07801729441</v>
      </c>
      <c r="E7" s="131">
        <v>301702.68378734589</v>
      </c>
      <c r="F7" s="131">
        <v>198484.01131534576</v>
      </c>
      <c r="G7" s="130">
        <v>179664.31106983125</v>
      </c>
      <c r="H7" s="131">
        <v>3879794.810821116</v>
      </c>
      <c r="I7" s="131">
        <v>395844.63667076826</v>
      </c>
      <c r="J7" s="131">
        <v>425291.50612393022</v>
      </c>
      <c r="K7" s="131">
        <v>1292791.1017500758</v>
      </c>
      <c r="L7" s="131">
        <v>347213.94463926554</v>
      </c>
      <c r="M7" s="131">
        <v>344844.45130820666</v>
      </c>
    </row>
    <row r="8" spans="1:13" x14ac:dyDescent="0.25">
      <c r="A8" s="129" t="s">
        <v>104</v>
      </c>
      <c r="B8" s="131">
        <v>223.53382436506217</v>
      </c>
      <c r="C8" s="131">
        <v>1.9002108573913574</v>
      </c>
      <c r="D8" s="131">
        <v>350.81729865074158</v>
      </c>
      <c r="E8" s="131">
        <v>140979.79435491562</v>
      </c>
      <c r="F8" s="131">
        <v>116306.15432739258</v>
      </c>
      <c r="G8" s="131">
        <v>60033.147839665413</v>
      </c>
      <c r="H8" s="131">
        <v>4596.8012398481369</v>
      </c>
      <c r="I8" s="131">
        <v>40743.932326793671</v>
      </c>
      <c r="J8" s="131">
        <v>5921.5178642272949</v>
      </c>
      <c r="K8" s="131">
        <v>196014.17399597168</v>
      </c>
      <c r="L8" s="131">
        <v>243955.91202354431</v>
      </c>
      <c r="M8" s="131">
        <v>59325.001915693283</v>
      </c>
    </row>
    <row r="9" spans="1:13" x14ac:dyDescent="0.25">
      <c r="A9" s="129" t="s">
        <v>106</v>
      </c>
      <c r="B9" s="130">
        <v>50671.845875569619</v>
      </c>
      <c r="C9" s="130">
        <v>58326.719566999003</v>
      </c>
      <c r="D9" s="131">
        <v>67597.875924214721</v>
      </c>
      <c r="E9" s="131">
        <v>75105.9182908535</v>
      </c>
      <c r="F9" s="131">
        <v>49784.601375937462</v>
      </c>
      <c r="G9" s="130">
        <v>62649.7256141752</v>
      </c>
      <c r="H9" s="131">
        <v>81729.292482480407</v>
      </c>
      <c r="I9" s="131">
        <v>77460.680813596817</v>
      </c>
      <c r="J9" s="131">
        <v>119766.49439761043</v>
      </c>
      <c r="K9" s="131">
        <v>93420.529853403568</v>
      </c>
      <c r="L9" s="131">
        <v>7054853.6445489973</v>
      </c>
      <c r="M9" s="131">
        <v>128520.37033812702</v>
      </c>
    </row>
    <row r="10" spans="1:13" x14ac:dyDescent="0.25">
      <c r="A10" s="129" t="s">
        <v>108</v>
      </c>
      <c r="B10" s="130">
        <v>99.748458385467529</v>
      </c>
      <c r="C10" s="130">
        <v>388.86764526367188</v>
      </c>
      <c r="D10" s="131">
        <v>2954.067138671875</v>
      </c>
      <c r="E10" s="131">
        <v>51894.878784179688</v>
      </c>
      <c r="F10" s="131">
        <v>487.14444971084595</v>
      </c>
      <c r="G10" s="130">
        <v>513.6194760799408</v>
      </c>
      <c r="H10" s="131">
        <v>71.97553539276123</v>
      </c>
      <c r="I10" s="131">
        <v>4.9587149620056152</v>
      </c>
      <c r="J10" s="131">
        <v>1539.811363697052</v>
      </c>
      <c r="K10" s="131">
        <v>2580.2802140414715</v>
      </c>
      <c r="L10" s="131">
        <v>628.30569267272949</v>
      </c>
      <c r="M10" s="131">
        <v>474.14708423614502</v>
      </c>
    </row>
    <row r="11" spans="1:13" x14ac:dyDescent="0.25">
      <c r="A11" s="129" t="s">
        <v>110</v>
      </c>
      <c r="B11" s="130">
        <v>7087.4562835693359</v>
      </c>
      <c r="C11" s="130">
        <v>6970.5395469665527</v>
      </c>
      <c r="D11" s="131">
        <v>4003.317325592041</v>
      </c>
      <c r="E11" s="131">
        <v>7974.9943008422852</v>
      </c>
      <c r="F11" s="131">
        <v>8056.3316116333008</v>
      </c>
      <c r="G11" s="130">
        <v>8916.4039154052734</v>
      </c>
      <c r="H11" s="131">
        <v>9860.1772356033325</v>
      </c>
      <c r="I11" s="131">
        <v>7849.1871337890625</v>
      </c>
      <c r="J11" s="131">
        <v>2081.6544141769409</v>
      </c>
      <c r="K11" s="131">
        <v>6295.5860328674316</v>
      </c>
      <c r="L11" s="131">
        <v>6879.549991607666</v>
      </c>
      <c r="M11" s="131">
        <v>11916.682029724121</v>
      </c>
    </row>
    <row r="12" spans="1:13" x14ac:dyDescent="0.25">
      <c r="A12" s="129" t="s">
        <v>115</v>
      </c>
      <c r="B12" s="130">
        <v>20288378.186999999</v>
      </c>
      <c r="C12" s="130">
        <v>20123149.662</v>
      </c>
      <c r="D12" s="130">
        <v>20334824.7795</v>
      </c>
      <c r="E12" s="130">
        <v>19884572.631000001</v>
      </c>
      <c r="F12" s="130">
        <v>19945044.503999997</v>
      </c>
      <c r="G12" s="130">
        <v>21137758.834500004</v>
      </c>
      <c r="H12" s="130">
        <v>21908513.088</v>
      </c>
      <c r="I12" s="130">
        <v>22010100.651000001</v>
      </c>
      <c r="J12" s="130">
        <v>22603244.548500001</v>
      </c>
      <c r="K12" s="130">
        <v>22743002.049252406</v>
      </c>
      <c r="L12" s="130">
        <v>22612622.2245</v>
      </c>
      <c r="M12" s="130">
        <v>24505027.816500001</v>
      </c>
    </row>
    <row r="13" spans="1:13" x14ac:dyDescent="0.25">
      <c r="A13" s="129" t="s">
        <v>117</v>
      </c>
      <c r="B13" s="130">
        <v>410383.810546875</v>
      </c>
      <c r="C13" s="130">
        <v>416078.51669311523</v>
      </c>
      <c r="D13" s="131">
        <v>245453.857421875</v>
      </c>
      <c r="E13" s="131">
        <v>496645.4921875</v>
      </c>
      <c r="F13" s="131">
        <v>638251.0546875</v>
      </c>
      <c r="G13" s="130">
        <v>589822.84892272949</v>
      </c>
      <c r="H13" s="131">
        <v>1335863.5078125</v>
      </c>
      <c r="I13" s="131">
        <v>2217945.671875</v>
      </c>
      <c r="J13" s="131">
        <v>759622.86853027344</v>
      </c>
      <c r="K13" s="131">
        <v>659.84804534912109</v>
      </c>
      <c r="L13" s="131">
        <v>18373.869140625</v>
      </c>
      <c r="M13" s="131">
        <v>3746.7968368530273</v>
      </c>
    </row>
    <row r="14" spans="1:13" x14ac:dyDescent="0.25">
      <c r="A14" s="129" t="s">
        <v>122</v>
      </c>
      <c r="B14" s="132">
        <v>340379.99999999988</v>
      </c>
      <c r="C14" s="132">
        <v>326430</v>
      </c>
      <c r="D14" s="131">
        <v>337589.99999999988</v>
      </c>
      <c r="E14" s="131">
        <v>239940</v>
      </c>
      <c r="F14" s="131">
        <v>234359.99999999994</v>
      </c>
      <c r="G14" s="132">
        <v>343169.99999999994</v>
      </c>
      <c r="H14" s="131">
        <v>343169.99999999994</v>
      </c>
      <c r="I14" s="131">
        <v>329220</v>
      </c>
      <c r="J14" s="131">
        <v>276210</v>
      </c>
      <c r="K14" s="131">
        <v>237150</v>
      </c>
      <c r="L14" s="131">
        <v>242730</v>
      </c>
      <c r="M14" s="131">
        <v>239940</v>
      </c>
    </row>
    <row r="15" spans="1:13" x14ac:dyDescent="0.25">
      <c r="A15" s="129" t="s">
        <v>124</v>
      </c>
      <c r="B15" s="126">
        <v>58003.000000000007</v>
      </c>
      <c r="C15" s="126">
        <v>71104</v>
      </c>
      <c r="D15" s="126">
        <v>101145.00000000001</v>
      </c>
      <c r="E15" s="126">
        <v>107151.00000000001</v>
      </c>
      <c r="F15" s="126">
        <v>73205</v>
      </c>
      <c r="G15" s="126">
        <v>24222.000000000004</v>
      </c>
      <c r="H15" s="126">
        <v>49170.000000000007</v>
      </c>
      <c r="I15" s="126">
        <v>73029</v>
      </c>
      <c r="J15" s="126">
        <v>78078</v>
      </c>
      <c r="K15" s="126">
        <v>86658</v>
      </c>
      <c r="L15" s="126">
        <v>95898.000000000015</v>
      </c>
      <c r="M15" s="126">
        <v>91817.000000000015</v>
      </c>
    </row>
    <row r="16" spans="1:13" x14ac:dyDescent="0.25">
      <c r="A16" s="129" t="s">
        <v>126</v>
      </c>
      <c r="B16" s="130">
        <v>79720.600000000006</v>
      </c>
      <c r="C16" s="130">
        <v>83501.649999999994</v>
      </c>
      <c r="D16" s="131">
        <v>87144.2</v>
      </c>
      <c r="E16" s="131">
        <v>81922.75</v>
      </c>
      <c r="F16" s="131">
        <v>73792.800000000003</v>
      </c>
      <c r="G16" s="130">
        <v>84928.2</v>
      </c>
      <c r="H16" s="131">
        <v>88667.7</v>
      </c>
      <c r="I16" s="131">
        <v>72213.899999999994</v>
      </c>
      <c r="J16" s="131">
        <v>69443.900000000009</v>
      </c>
      <c r="K16" s="131">
        <v>73100.3</v>
      </c>
      <c r="L16" s="131">
        <v>66313.8</v>
      </c>
      <c r="M16" s="131">
        <v>81479.549999999988</v>
      </c>
    </row>
    <row r="17" spans="1:13" x14ac:dyDescent="0.25">
      <c r="A17" s="129" t="s">
        <v>128</v>
      </c>
      <c r="B17" s="130">
        <v>315639.12</v>
      </c>
      <c r="C17" s="130">
        <v>317157.12000000005</v>
      </c>
      <c r="D17" s="131">
        <v>286772.28000000003</v>
      </c>
      <c r="E17" s="131">
        <v>276760.38</v>
      </c>
      <c r="F17" s="131">
        <v>274488.89999999997</v>
      </c>
      <c r="G17" s="130">
        <v>284050.92</v>
      </c>
      <c r="H17" s="131">
        <v>317228.88</v>
      </c>
      <c r="I17" s="131">
        <v>332693.16000000003</v>
      </c>
      <c r="J17" s="131">
        <v>336415.02</v>
      </c>
      <c r="K17" s="131">
        <v>330119.46000000008</v>
      </c>
      <c r="L17" s="131">
        <v>339756</v>
      </c>
      <c r="M17" s="131">
        <v>356455.38</v>
      </c>
    </row>
    <row r="18" spans="1:13" x14ac:dyDescent="0.25">
      <c r="A18" s="129" t="s">
        <v>132</v>
      </c>
      <c r="B18" s="131">
        <v>452206.6</v>
      </c>
      <c r="C18" s="131">
        <v>445934.27999999997</v>
      </c>
      <c r="D18" s="131">
        <v>456853.19000000006</v>
      </c>
      <c r="E18" s="131">
        <v>405544.69</v>
      </c>
      <c r="F18" s="131">
        <v>273399.36</v>
      </c>
      <c r="G18" s="131">
        <v>381446.99</v>
      </c>
      <c r="H18" s="131">
        <v>431833.08999999997</v>
      </c>
      <c r="I18" s="131">
        <v>414999.29</v>
      </c>
      <c r="J18" s="131">
        <v>293911.23</v>
      </c>
      <c r="K18" s="131">
        <v>354270.78</v>
      </c>
      <c r="L18" s="131">
        <v>241933.99000000002</v>
      </c>
      <c r="M18" s="131">
        <v>187500.86000000002</v>
      </c>
    </row>
    <row r="19" spans="1:13" x14ac:dyDescent="0.25">
      <c r="A19" s="129" t="s">
        <v>134</v>
      </c>
      <c r="B19" s="132">
        <v>4742485</v>
      </c>
      <c r="C19" s="132">
        <v>4875167</v>
      </c>
      <c r="D19" s="131">
        <v>4810619</v>
      </c>
      <c r="E19" s="131">
        <v>5038330.0000000009</v>
      </c>
      <c r="F19" s="131">
        <v>4731727</v>
      </c>
      <c r="G19" s="126">
        <v>4509395</v>
      </c>
      <c r="H19" s="131">
        <v>4778345</v>
      </c>
      <c r="I19" s="131">
        <v>5952760</v>
      </c>
      <c r="J19" s="131">
        <v>5943795</v>
      </c>
      <c r="K19" s="131">
        <v>5999378</v>
      </c>
      <c r="L19" s="131">
        <v>5723255.9999999991</v>
      </c>
      <c r="M19" s="131">
        <v>6682511</v>
      </c>
    </row>
    <row r="20" spans="1:13" x14ac:dyDescent="0.25">
      <c r="A20" s="129" t="s">
        <v>136</v>
      </c>
      <c r="B20" s="130">
        <v>175528</v>
      </c>
      <c r="C20" s="130">
        <v>77848</v>
      </c>
      <c r="D20" s="131">
        <v>65120</v>
      </c>
      <c r="E20" s="131">
        <v>79032</v>
      </c>
      <c r="F20" s="131">
        <v>81992</v>
      </c>
      <c r="G20" s="126">
        <v>131720</v>
      </c>
      <c r="H20" s="131">
        <v>134384</v>
      </c>
      <c r="I20" s="131">
        <v>128760</v>
      </c>
      <c r="J20" s="131">
        <v>93536</v>
      </c>
      <c r="K20" s="131">
        <v>82288</v>
      </c>
      <c r="L20" s="131">
        <v>455896.28</v>
      </c>
      <c r="M20" s="131">
        <v>491302.86</v>
      </c>
    </row>
    <row r="21" spans="1:13" x14ac:dyDescent="0.25">
      <c r="A21" s="129" t="s">
        <v>138</v>
      </c>
      <c r="B21" s="132">
        <v>3037787</v>
      </c>
      <c r="C21" s="132">
        <v>3383864</v>
      </c>
      <c r="D21" s="131">
        <v>3691488</v>
      </c>
      <c r="E21" s="131">
        <v>4383642</v>
      </c>
      <c r="F21" s="131">
        <v>4499001</v>
      </c>
      <c r="G21" s="126">
        <v>5921761.9999999991</v>
      </c>
      <c r="H21" s="131">
        <v>6306292.0000000009</v>
      </c>
      <c r="I21" s="131">
        <v>6498557</v>
      </c>
      <c r="J21" s="131">
        <v>6613916</v>
      </c>
      <c r="K21" s="131">
        <v>7344522.9999999991</v>
      </c>
      <c r="L21" s="131">
        <v>7113805</v>
      </c>
      <c r="M21" s="131">
        <v>7229164</v>
      </c>
    </row>
    <row r="22" spans="1:13" x14ac:dyDescent="0.25">
      <c r="A22" s="129" t="s">
        <v>140</v>
      </c>
      <c r="B22" s="130">
        <v>186420</v>
      </c>
      <c r="C22" s="130">
        <v>157740</v>
      </c>
      <c r="D22" s="131">
        <v>176860</v>
      </c>
      <c r="E22" s="131">
        <v>186420</v>
      </c>
      <c r="F22" s="131">
        <v>143400</v>
      </c>
      <c r="G22" s="131">
        <v>186420</v>
      </c>
      <c r="H22" s="131">
        <v>181640</v>
      </c>
      <c r="I22" s="131">
        <v>181640</v>
      </c>
      <c r="J22" s="131">
        <v>157740</v>
      </c>
      <c r="K22" s="131">
        <v>176860</v>
      </c>
      <c r="L22" s="131">
        <v>162520</v>
      </c>
      <c r="M22" s="131">
        <v>9560</v>
      </c>
    </row>
    <row r="23" spans="1:13" x14ac:dyDescent="0.25">
      <c r="A23" s="129" t="s">
        <v>142</v>
      </c>
      <c r="B23" s="130">
        <v>1478992.9422399998</v>
      </c>
      <c r="C23" s="130">
        <v>1532681.4024</v>
      </c>
      <c r="D23" s="131">
        <v>1638855.7632800001</v>
      </c>
      <c r="E23" s="131">
        <v>1656273.4790400001</v>
      </c>
      <c r="F23" s="131">
        <v>1440743.7936</v>
      </c>
      <c r="G23" s="131">
        <v>1627062.9223199999</v>
      </c>
      <c r="H23" s="131">
        <v>1755467.2000000002</v>
      </c>
      <c r="I23" s="131">
        <v>1736959.6000000003</v>
      </c>
      <c r="J23" s="131">
        <v>1567597.6</v>
      </c>
      <c r="K23" s="131">
        <v>1576870.8000000003</v>
      </c>
      <c r="L23" s="131">
        <v>1724078</v>
      </c>
      <c r="M23" s="131">
        <v>1821892.7999999998</v>
      </c>
    </row>
    <row r="24" spans="1:13" x14ac:dyDescent="0.25">
      <c r="A24" s="129" t="s">
        <v>153</v>
      </c>
      <c r="B24" s="130">
        <v>4017790.9286770821</v>
      </c>
      <c r="C24" s="130">
        <v>5745908.2015533447</v>
      </c>
      <c r="D24" s="131">
        <v>5656627.9882721901</v>
      </c>
      <c r="E24" s="131">
        <v>5448228.6385674477</v>
      </c>
      <c r="F24" s="131">
        <v>6972964.4608802795</v>
      </c>
      <c r="G24" s="131">
        <v>6170618.7970900536</v>
      </c>
      <c r="H24" s="131">
        <v>6794333.8497574329</v>
      </c>
      <c r="I24" s="131">
        <v>16084343.00827837</v>
      </c>
      <c r="J24" s="131">
        <v>12726724.173522353</v>
      </c>
      <c r="K24" s="131">
        <v>6447496.7251904607</v>
      </c>
      <c r="L24" s="131">
        <v>7633324.7601746321</v>
      </c>
      <c r="M24" s="131">
        <v>8595302.6915163994</v>
      </c>
    </row>
    <row r="25" spans="1:13" x14ac:dyDescent="0.25">
      <c r="A25" s="129" t="s">
        <v>155</v>
      </c>
      <c r="B25" s="130">
        <v>0</v>
      </c>
      <c r="C25" s="130">
        <v>0</v>
      </c>
      <c r="D25" s="130">
        <v>0</v>
      </c>
      <c r="E25" s="130">
        <v>0</v>
      </c>
      <c r="F25" s="130">
        <v>0</v>
      </c>
      <c r="G25" s="130">
        <v>0</v>
      </c>
      <c r="H25" s="130">
        <v>0</v>
      </c>
      <c r="I25" s="130">
        <v>0</v>
      </c>
      <c r="J25" s="130">
        <v>0</v>
      </c>
      <c r="K25" s="130">
        <v>0</v>
      </c>
      <c r="L25" s="130">
        <v>0</v>
      </c>
      <c r="M25" s="130">
        <v>0</v>
      </c>
    </row>
    <row r="26" spans="1:13" x14ac:dyDescent="0.25">
      <c r="A26" s="129" t="s">
        <v>157</v>
      </c>
      <c r="B26" s="132">
        <v>1421970</v>
      </c>
      <c r="C26" s="132">
        <v>1481864.9999999998</v>
      </c>
      <c r="D26" s="130">
        <v>1902449.9999999998</v>
      </c>
      <c r="E26" s="130">
        <v>2041049.9999999998</v>
      </c>
      <c r="F26" s="130">
        <v>2222139.1499999994</v>
      </c>
      <c r="G26" s="130">
        <v>2547600</v>
      </c>
      <c r="H26" s="130">
        <v>2674704.4499999997</v>
      </c>
      <c r="I26" s="130">
        <v>2729357.3999999994</v>
      </c>
      <c r="J26" s="130">
        <v>2838704.55</v>
      </c>
      <c r="K26" s="130">
        <v>2751045</v>
      </c>
      <c r="L26" s="130">
        <v>3344224.9499999997</v>
      </c>
      <c r="M26" s="130">
        <v>3885665.8499999996</v>
      </c>
    </row>
    <row r="27" spans="1:13" x14ac:dyDescent="0.25">
      <c r="A27" s="129" t="s">
        <v>161</v>
      </c>
      <c r="B27" s="130">
        <v>8141.64</v>
      </c>
      <c r="C27" s="130">
        <v>12384.84</v>
      </c>
      <c r="D27" s="130">
        <v>23206.04</v>
      </c>
      <c r="E27" s="130">
        <v>30287.920000000002</v>
      </c>
      <c r="F27" s="130">
        <v>31367.960000000003</v>
      </c>
      <c r="G27" s="130">
        <v>33445.880000000005</v>
      </c>
      <c r="H27" s="130">
        <v>29792.880000000001</v>
      </c>
      <c r="I27" s="130">
        <v>47892</v>
      </c>
      <c r="J27" s="130">
        <v>61524.840000000004</v>
      </c>
      <c r="K27" s="130">
        <v>63749.4</v>
      </c>
      <c r="L27" s="130">
        <v>66113.84</v>
      </c>
      <c r="M27" s="130">
        <v>75533.64</v>
      </c>
    </row>
    <row r="28" spans="1:13" x14ac:dyDescent="0.25">
      <c r="A28" s="129" t="s">
        <v>163</v>
      </c>
      <c r="B28" s="132">
        <v>126670.00000000001</v>
      </c>
      <c r="C28" s="132">
        <v>156879.99999999997</v>
      </c>
      <c r="D28" s="130">
        <v>201900.85</v>
      </c>
      <c r="E28" s="130">
        <v>242859.78</v>
      </c>
      <c r="F28" s="130">
        <v>308548.51</v>
      </c>
      <c r="G28" s="130">
        <v>325294.39</v>
      </c>
      <c r="H28" s="130">
        <v>392413.06</v>
      </c>
      <c r="I28" s="130">
        <v>415332.91000000003</v>
      </c>
      <c r="J28" s="130">
        <v>373240.84</v>
      </c>
      <c r="K28" s="130">
        <v>406260.9</v>
      </c>
      <c r="L28" s="130">
        <v>388379.76</v>
      </c>
      <c r="M28" s="130">
        <v>402240.32</v>
      </c>
    </row>
    <row r="29" spans="1:13" x14ac:dyDescent="0.25">
      <c r="A29" s="129" t="s">
        <v>165</v>
      </c>
      <c r="B29" s="130">
        <v>1978673.6299823462</v>
      </c>
      <c r="C29" s="130">
        <v>2097924.3394265622</v>
      </c>
      <c r="D29" s="131">
        <v>2235139.1751690619</v>
      </c>
      <c r="E29" s="131">
        <v>2345963.9968050001</v>
      </c>
      <c r="F29" s="131">
        <v>2509565.1967840134</v>
      </c>
      <c r="G29" s="131">
        <v>2704507.2030075002</v>
      </c>
      <c r="H29" s="131">
        <v>2725637.914399141</v>
      </c>
      <c r="I29" s="131">
        <v>2781751.8113549999</v>
      </c>
      <c r="J29" s="131">
        <v>2880204.804253222</v>
      </c>
      <c r="K29" s="131">
        <v>2914341.7587899989</v>
      </c>
      <c r="L29" s="131">
        <v>3140849.3255244046</v>
      </c>
      <c r="M29" s="131">
        <v>3263258.6658058167</v>
      </c>
    </row>
    <row r="30" spans="1:13" x14ac:dyDescent="0.25">
      <c r="A30" s="129" t="s">
        <v>168</v>
      </c>
      <c r="B30" s="130">
        <v>605978.96435330214</v>
      </c>
      <c r="C30" s="130">
        <v>1327579.7604677877</v>
      </c>
      <c r="D30" s="131">
        <v>690681.70405884646</v>
      </c>
      <c r="E30" s="131">
        <v>1348423.6579211568</v>
      </c>
      <c r="F30" s="131">
        <v>512500.99519539118</v>
      </c>
      <c r="G30" s="131">
        <v>485148.13634559093</v>
      </c>
      <c r="H30" s="131">
        <v>1871436.4456964042</v>
      </c>
      <c r="I30" s="131">
        <v>1727517.2239391878</v>
      </c>
      <c r="J30" s="131">
        <v>1841745.7486513555</v>
      </c>
      <c r="K30" s="131">
        <v>1503719.0618882366</v>
      </c>
      <c r="L30" s="131">
        <v>3835314.9427256044</v>
      </c>
      <c r="M30" s="131">
        <v>1754653.1786906051</v>
      </c>
    </row>
    <row r="31" spans="1:13" x14ac:dyDescent="0.25">
      <c r="A31" s="129" t="s">
        <v>170</v>
      </c>
      <c r="B31" s="130">
        <v>204127.10308764875</v>
      </c>
      <c r="C31" s="130">
        <v>77763.283304609358</v>
      </c>
      <c r="D31" s="131">
        <v>333489.17390228808</v>
      </c>
      <c r="E31" s="131">
        <v>29694.826436117291</v>
      </c>
      <c r="F31" s="131">
        <v>210548.19600359723</v>
      </c>
      <c r="G31" s="131">
        <v>462912.60342894681</v>
      </c>
      <c r="H31" s="131">
        <v>361653.81627810746</v>
      </c>
      <c r="I31" s="131">
        <v>716208.46177131683</v>
      </c>
      <c r="J31" s="131">
        <v>449876.52907383442</v>
      </c>
      <c r="K31" s="131">
        <v>342061.90037501976</v>
      </c>
      <c r="L31" s="131">
        <v>493257.43940794654</v>
      </c>
      <c r="M31" s="131">
        <v>296988.68986433744</v>
      </c>
    </row>
    <row r="32" spans="1:13" x14ac:dyDescent="0.25">
      <c r="A32" s="133" t="s">
        <v>174</v>
      </c>
      <c r="B32" s="134">
        <v>0</v>
      </c>
      <c r="C32" s="134">
        <v>0</v>
      </c>
      <c r="D32" s="135">
        <v>0</v>
      </c>
      <c r="E32" s="135">
        <v>0</v>
      </c>
      <c r="F32" s="135">
        <v>0</v>
      </c>
      <c r="G32" s="135">
        <v>0</v>
      </c>
      <c r="H32" s="135">
        <v>0</v>
      </c>
      <c r="I32" s="135">
        <v>0</v>
      </c>
      <c r="J32" s="135">
        <v>0</v>
      </c>
      <c r="K32" s="135">
        <v>0</v>
      </c>
      <c r="L32" s="135">
        <v>0</v>
      </c>
      <c r="M32" s="135">
        <v>0</v>
      </c>
    </row>
    <row r="33" spans="1:13" x14ac:dyDescent="0.25">
      <c r="A33" s="129" t="s">
        <v>245</v>
      </c>
      <c r="B33" s="136">
        <f>SUM(B5:B32)</f>
        <v>95381509.50919427</v>
      </c>
      <c r="C33" s="136">
        <f t="shared" ref="C33:M33" si="0">SUM(C5:C32)</f>
        <v>103539137.55850184</v>
      </c>
      <c r="D33" s="136">
        <f t="shared" si="0"/>
        <v>108009833.10013707</v>
      </c>
      <c r="E33" s="136">
        <f t="shared" si="0"/>
        <v>113805351.04294431</v>
      </c>
      <c r="F33" s="136">
        <f t="shared" si="0"/>
        <v>120877920.73907253</v>
      </c>
      <c r="G33" s="136">
        <f t="shared" si="0"/>
        <v>131450720.85234617</v>
      </c>
      <c r="H33" s="136">
        <f t="shared" si="0"/>
        <v>144011835.77478436</v>
      </c>
      <c r="I33" s="136">
        <f t="shared" si="0"/>
        <v>158092662.43555701</v>
      </c>
      <c r="J33" s="136">
        <f t="shared" si="0"/>
        <v>154831470.30731407</v>
      </c>
      <c r="K33" s="136">
        <f t="shared" si="0"/>
        <v>160005130.51259893</v>
      </c>
      <c r="L33" s="136">
        <f t="shared" si="0"/>
        <v>177131438.61344254</v>
      </c>
      <c r="M33" s="136">
        <f t="shared" si="0"/>
        <v>174789229.22398171</v>
      </c>
    </row>
  </sheetData>
  <mergeCells count="1">
    <mergeCell ref="B4:M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T o u r   1 "   I d = " { B 0 5 5 9 E 8 5 - 4 9 A F - 4 2 8 7 - A 6 1 8 - A 5 D 4 B 2 6 9 F 6 8 E } "   T o u r I d = " b c f b d c f f - e 5 4 1 - 4 c 8 1 - 9 9 9 1 - d a e 0 c 9 8 0 0 6 0 2 "   X m l V e r = " 6 "   M i n X m l V e r = " 3 " > < D e s c r i p t i o n > S o m e   d e s c r i p t i o n   f o r   t h e   t o u r   g o e s   h e r e < / D e s c r i p t i o n > < I m a g e > i V B O R w 0 K G g o A A A A N S U h E U g A A A N Q A A A B 1 C A Y A A A A 2 n s 9 T A A A A A X N S R 0 I A r s 4 c 6 Q A A A A R n Q U 1 B A A C x j w v 8 Y Q U A A A A J c E h Z c w A A B C E A A A Q h A V l M W R s A A D q b S U R B V H h e 7 X 3 3 c y R H l t 5 r D + + 9 d + M 9 O Y 6 c G b p d 7 p 6 L U 9 x K p w s p 9 i 5 C d 7 q 4 0 3 + h P 0 i h n 7 T m y C U 5 5 C w 5 3 n s D 7 7 1 t t O / W + 1 5 m V l c 3 G p j B E D O o B v A B 2 Z m V V W 2 q M r 9 8 J p 3 r d z / e S t E e q L q 8 l M 4 e 6 a T p 6 R k K + D w U j 8 V o O u i n Z z P F l E q l 6 J c H I + R 2 k a Q n x i e p p r a a + v s H q K S k h J K J J D U 0 1 p P b 7 d a f p v C g P 0 i h U J g i 0 0 + p u L i Y 4 v E 4 V V R W U C I R 5 + M S q q u r p e G h I U q R i w o L C 6 i l p X n N Z 7 w t J s Z G q a K q i g o K C n U O U T K Z p F g s S o F A g c 4 h i k a j t L C w S I l 4 g i L R C E U i E f L 7 f E Q u F 0 1 N T d P R Y 0 e o l O 8 R c H G e C c G V Z b 6 X K r 6 n B N 1 + O U o L y 0 G 5 Z r d j j 1 C M z z 8 8 R v d H v X S y c V k q X Y I r f j A Y p G t j d U I g o K t w i E o C K S G c 2 + O m w 4 c P S T 5 f w I Q g e v L k G R 0 8 u D + D E H h v X 1 + / V N j V 4 C p X 7 g B X R r e Q K h I O U 4 K / 6 + j R w 1 t G I o N E I k G h 1 V U q K S 3 V O W s x N j p C T c 0 t + k i B 2 w s h U i 6 A R N k x n l M q l e T v K a P Z + S W 6 8 X x Y z u 1 m M K F u 7 1 p C e T 0 e O n z g G L 0 c X q E W / y A F V 0 O S X 1 9 f R + E o 0 b 3 p W i G F x 5 2 i X x z g D B s M 0 Q x w / O p V L x M y R V 1 d H e T j V h 6 t 9 5 U r P 9 L n n 3 8 i 5 + / c v k v 7 D + y j U q 7 o O E b F v 3 X z D p 3 / 6 K z + l J 8 H k D R Q k J Y + A C Q Q p C 0 I g D Q k J Z o A t 9 s j v w F h d W W F U s y T E p a a X k g n h i G O H f N z c 0 y i G B U W F Q t Z 0 R D g O s R J v h e v P 0 D f 3 X l B M b 7 v 3 Q r X 7 3 7 a n Y Q q 4 Y r n K + m i + Z B X V L H P u p d p Z S V I U 5 N T V F B Y S E W V r X R r y C v X 1 p c m 6 E R L X N K o g B s B E m 5 u f p 5 e P H 9 F 3 d 2 d U o k X F 5 a o s r K c K q u r O L 1 A 8 / O L N D M 9 z e p X n F W 9 Q l a r D l N Z W Z n + h J 8 H S A 2 u 5 e T h x u J 1 S P F v D Y V C V M Q k A 6 D u B Q I B m h w f J 6 / X S 9 W 1 t U K Y M F + D z y 0 o K q L p y Q m W s J V 8 3 k d h J n B Z e b l c E + P 7 L O T z Q y N T t J r y 0 P D U r H z m b o P r 9 7 u Q U M 1 N 3 T S 2 X C o S A u F 8 6 x I l Y q v 0 6 O E T O n j o A F f + C v r q a U B f T S y d I j Q 3 O 8 M k m G E p t s o 5 K T p 0 6 C A V c Q W y Y 2 l p i S u X m + 0 q 2 F 2 k 7 Z X 0 5 z x 8 + I j t p j o a G x u n Y 2 y b o N I C I P T N G 7 d F e i 3 y Z 8 z N z g l x T 5 w 4 R n 6 / X 6 4 B U e 2 q 4 e j w E D W 1 t E p l B n D 9 z P S U V P y 6 h s Z N q 5 F j I 8 O i A k 6 M j z E Z v V R b X 0 / j n N f I 3 w H M c g N Q w 7 8 d W O b f C A K h 4 l R V V 9 P g v J + 6 a 9 k + 4 z w X f + / M z C w l y / b R i 5 f 3 5 P r d h F 1 H q J K q g 1 R Z 7 K M i X 5 T q S + J s N 7 B E 4 Q r 8 5 O k z c Q r 0 D k x S r P a C v p o f U G i C P u w g I Z k B K u 8 s v + c p v + f S p Q u 0 y i 3 4 8 N A w d X S 0 Z x A o G 4 8 f P 6 E j R w 5 L + t G j J 9 T T 0 8 V 2 V V p F A 7 k h W U C e c Z Y S F R W V r K J l k n Y j g A w N j U 3 6 a P O Y m 5 m h q p o a S e M e Y Y e 5 + f e Y 3 2 j I C / s S q m O M V c k X U 3 5 u n A I U 4 L b h 0 3 0 x u n 3 7 j t z X y 5 V m S r p Z i s 3 c k f f s F j C h 7 u w K Q n k 8 b g p U n q A L H U G p u K i 0 q D T L o S Q V + t K t / 2 r U R d f 6 / V x 5 U n S s M U b V J U n J z w Y + Y 2 B g k B Y X l + j A g f 0 b V n x 8 1 9 j Y B N X W 1 V C A J Q 7 I G E / E q V 6 3 + H Y E g 6 s s r W 6 J X W U n 2 5 t g l S u 6 U d / e B k G 2 p Y q 1 R w 9 e v I L C I i F 4 n O 0 m q H h T E + M i / Q y x A H y n 2 1 9 C V 3 p V Q 4 J z H T V J q i t l G 3 S 0 g B s Y L y U W 7 l G C b c v d A N f v r + 5 8 Q v m 8 H j p / 9 C A V e G I Z Z J q Y m G R J M C G q V T Z w f j 3 g / f f v P 6 R T p 0 7 o n P W B a 7 / / / s 9 0 8 e L H 5 P M p F W 9 y c l J a / q r K K i G 6 H V D / 7 t 1 7 I J I M r v T N A q S A W 7 6 0 T N k 2 u Y D f B A c G z s N e N N I I Q B 5 s I Y O V 5 W V a X l x k 1 a 9 F r j O f C S d E B H Y T v x 9 5 8 Q T s N q I b A z 5 a j n j o 8 / 1 R e j g W o K W o T + 4 7 u f y A v 3 f n O y u 2 1 l / r Q B Q E C u i X p w 9 R w B 0 V M q H C v n r V x / b O s t g z x o 4 x Q K X Z i E y A U t 2 0 2 3 w D o M L 1 9 / e L l 8 + Q C c D 3 w v 6 6 / O 0 P N M K 2 k B 1 / / M N X f K 5 Q X O x v A 0 i Y s v I K q + L P z 8 4 K W a D O G e C c h + 8 b Z A q x h I E X E N 7 B x Y V 5 I R P I B n U O Q B p k A v C + m a l J e Y 5 o E E C m K W 4 c A K 8 H v W k p q i h U j d V 3 L / w 0 O T V F X V V h i k Z j 5 C o 5 z s 9 a 2 Y M 7 G e i r l P 6 H n R o + P 9 X D x n K E V l d D N D g 4 J I X d 3 t 4 q j o M F r k C H D h 3 g q x R e R y S D 5 a U V y 1 m Q C / C c w U b q Y + J 2 d L A B l g V U z O B K k M 6 e / 5 B a W t t o m i u p Q V t r s 3 x + J J L p p n 9 b V F Z X C 0 l g G 0 E y g R C T Y 2 P S k M D j W M g q o o / v B f f e q P u l Q C 5 I o O W l x T V S p a K q W k h m U F d f L 9 4 + O C 1 A w t E F p h V / F o K n q J Z W I k T H m x R B k 4 W H y c O q d a 5 y 2 j H h D 1 f v 7 k i V z + 8 P M J m 6 x f P 0 7 c M w f X J I u Z H n 5 x e o v L y M o i j g R N K S B G 9 K J u D a 1 e v 0 4 Z k P W J V U f T Y G y 8 s r 0 s H b 2 F h P b W 3 K O 5 Y L M O o H + g f p M E s 5 k A u V d 3 Z 2 h k l e K p U f E m C K K + j 0 1 A z f h 0 9 c 6 o 2 N D Z b U 2 U p M T U y w X d S g j 9 b H C q u S / J C Y P C G q q a 0 T q W d U Q z x j / n E s 6 e A 6 L 6 b n U z 4 a m v P I 7 0 W 4 1 B O j g X k f T S z 5 R M X 1 R 1 7 w 8 2 e m 7 U C 4 / n B t 5 x E K D o b q u m M 0 u R i H s s / 6 f J g r a Z I r 7 S x V V 1 f J N Y t s F 8 D F W 6 Y 7 W T e D v t 5 + a m t v 4 1 Y + s 6 / n + 8 t X 6 N P P L u m j 3 J i b m 6 O F + X n 5 X X A g R C M R a u v s 4 r w 5 I V J R c Y m o U n A 9 4 z d X V V W K A + P W j d u 0 b 3 8 P N T T U 6 0 9 6 / 4 D E w q i I p U V u l C o q 5 b n B T Y / O 4 E V u q C r 4 t 8 K G w 3 0 9 m / T R 8 H y a V I U s 0 C N x t z g 5 / K w e J o J P 9 K f u L O x I Q v k r T r L 9 E q c E t 4 L 7 i o c o 4 G e C s e p j b + F R G e 7 e v f 9 G j g U 7 0 F / U w m o Z 3 O i w D U A Q d A j z J 1 L P v h 6 2 2 d a 3 f c b G J 0 T V 2 7 e v W 4 5 X u Z W H L Q V V D F 4 1 O B I A 2 D 0 / X b 1 B l z 6 5 S K W l J d b v x h A m O F L w 3 d U 1 V W y 3 Z N p / 6 w E d t n j f A l d 6 K C b o L / v o 4 3 O W / b g a B A m U d y 8 X Z t h O 8 r M k h 9 S H 6 g a J Z N z r B k v c Q P n 4 8 6 B C Y h w h 1 M f b Q z 6 a D a r R F C a 4 2 c j 4 f H + c V b 8 k f f + g T 7 9 7 5 2 D H E a q g + i R X V C Y T t / Y V y 9 e 4 8 p V S T U 2 1 D G K 1 I 8 y V D B U N E m o z g E M C / U 0 w 6 j G I 9 H U d q H C D w 8 n Q P z B A F e U V I n H s G B 8 d 4 Y r m J i + r d j U 1 t T p X e e L Q v / X w / i N q 7 2 y j W q 7 A I A A q Z T g c o Q H + P A z S 7 e j k 3 8 K t P v J x f n R 0 T M Y N t r G d W M / 2 j e o 0 v k X n z p + x O q J n W f q N 8 H W Q d v g 9 c 7 B / 4 j F q a W u X 8 9 k w 7 n I A Z M I 9 Q 7 p D Y k F S 5 Q J I W s w q 7 A / P k x R O K k + g C X C r F z C X q 4 s T d O v 5 z i K V 6 4 / X 7 u 0 Y Q h V U H a b V s F s q U a 1 n l M o 8 S y K Z 0 C K j E n Z y 5 Q N k h P T 9 5 7 Q Y O C g S 5 V L P m z s A Q E L Y S S 0 t T V R b m y Z A L j x 9 + l w 6 Q O F F q 6 q u p I q K d O d w N q Z Z C m B 0 Q j Y g S X E / M y y 1 l h a W p N + n q a V Z G g n T C Y z z 1 6 / d l B E Y f / 0 3 f y k O F z g 1 Y O v V 1 d d K P x l I A M l R z C r b P N t r 1 W w H 3 b l z j + W V i 0 6 e O i 4 N z g o / p x L b E C g 4 L W A r N T Q 1 0 T A T G M 4 L D D t C Y 4 K x i g Y r y / x 8 Q 2 E Z S T E 7 P S W f D e C 3 R l i K 3 5 q E / Y c c R a i A 1 0 W 1 Z S l a W H W J J 9 Q b G 5 D r d w I 8 v / 2 f / / 6 / d T q v U d l 6 g p Z X X C K Z U u E 5 O t S Y 4 g p f I 9 4 4 q E 1 9 f Q N 8 X C 2 E G B 4 Z p Q n X U U q 5 v K y o u a i r 5 s 3 7 R y A F 8 J k r L A U q K p S K l g s y K p 0 r c V t b C 1 W y F H h d J 6 0 Z g w d 1 z 3 S u A q i A I A 6 m U I B E i X i U y r l S w 7 l y / 9 5 D U e V A K D g 5 M C g X U u 0 e E 2 V y c k o k K P r g 4 N S A Z w 7 T O T C i o 6 9 v k N X H J f k 8 q L x 3 b t + j 1 t Y W 8 n P j g r F 6 5 v s x G L Z a e w c 9 / D k Y 2 w d 7 C b 9 p Y m y M V V R F P r w P d h P I V 6 Y b D a i w c F q g w 3 s l 4 u K Q l u Q J b s K 7 a u I 0 s o A B u n x / P l b H E 3 P 6 b H 5 j R / g w A 6 X V X M G Y Q M U R 2 l 8 d p A 9 a Q u K 6 t q t j 6 D d C J U d l m J 6 c p o T N H R y K 4 Y M y s Z 6 f A n b P s 2 c v q I 7 J u h F Q W V + + x O j z 3 C M t 7 I A h j 4 q o h i 1 t r D C U s o T B a A u o a x c u f k R n z 5 5 h t a + D 7 S k 3 d f d 0 i + c S z p J 9 + z q p v Q 2 2 X r l U b I w O B / E w m P X M 2 d N 0 n l X A A w f 2 y f P A N R i o C 9 T W N 9 C U d u O 7 + R x U N z Q i 6 N s y w H P N 1 U k L M h p A 3 U O H M C T s s W b 1 2 Q b I u z c M + w 0 9 V 2 4 K x 7 g R 9 D A 5 s 8 o 1 H 4 P n t / + a / x K q s a a V O q t j 1 F Y R o 5 G + p 2 I 8 N z S k 5 z I B m K p R w p I K l Q N O h b 5 Z p b L g E r h 4 q 4 q T T D I X P R j 1 0 c M x D 9 W X p 2 R 8 m h 3 L y 8 v i b j + w f 1 + G y o P P 4 L q X A V R U T N M Y H R n j V r 5 a 5 6 a B U e h i i / B 1 G N S K S j / F F R K k C n I l X p i b F z U Q h M R v h p o 1 z i o b 1 C p 7 Q 4 H v n W U C N D Q 1 0 v 2 7 D + n g 4 Q O i 7 k 1 M T M l A 3 t X V C K U S M f l M j C 5 / + O C x I i B / H o C G 5 + m T F 6 w O d / D n q p v A 5 E d 8 L 0 h Y W F g k f U z Z Q 5 p A T D Q E 9 v 6 4 Y r 4 + / d t S Y j / i M + G s G F 9 0 y / N F i e C e D S T N D z C e C p C P F n V u / s L 1 H 9 f z 2 4 b 6 8 s w x b p X D 0 v p C 3 T N O A D u Z g O z j / l k P v Z z K Y g w j H l m l K N t Y n Y 1 F V B p I U V k h d H 0 3 r b I U W + r / i W q 6 P 6 K h + b V T I / b V 8 X u q V U s M G w 3 1 C u P 8 f r h 8 h U 4 c P y x q G 2 w L U z F R Y Y c H + p k I z W K r o C 8 I H a S w c z q 6 l B f Q j u m J C b Y 3 I l T f 0 M g k C Q r x A g W F 4 i S A y n X j + k 1 R w e w d 1 b A b B w c G h d D F / E y S / A z u 3 X 0 g k s 3 g 2 z 9 9 R x 9 f / H j D k R m Q e p h D h X s A 4 O l D g z I 7 M w 3 e y H M 3 f V l L f C 9 G 7 c M 9 g m D w g l 4 b q e J L s 4 h k x S n + j j i 5 U g k q d u f 3 J E U m 1 P 2 8 J V R 7 e y f 1 V G P w Z p z J 4 a Y S f 4 J q S 1 h 9 e A 2 Z g D 8 9 C 1 B 7 d Y L 6 Z 9 L k w I z c 0 t U H N O 4 5 z k f p w n 9 T f N i y S j N j f T I Q 1 M M t c 1 N z A 1 f k Y q v V R p 8 T K j + A v h z 0 M 1 W y X b M R I A U w K x Z T 2 S G l Y P T X 1 C n n B S R m J L T K N l W V V P C v v / q W f v n l 5 1 J J c c 9 X f 7 o u j p C 6 + h o a G h i S 4 V b 7 W M 1 r b k 6 P S E f e X b a 5 2 j v a x H u 5 H j D D F w 4 W S D + M j g C J D M H w X Y Y g k L z Z o 0 g w L h b P 2 1 x j g G M T Q K g k S 9 K A J 0 x + S g + T y j f k r Q 2 F a e h t p a y m w Q n B B f q K C e X 3 r L V X c p E J 8 E Y n a W Q O H 6 Z Q U 5 K k Q 1 V T X N n Q 0 q b z N 4 O b g w E a T B x i K b G f 9 r N a i J E P d v U M Z I J T B P O M Y J O 8 j k w A h g F h d q 1 x B t h t s g R L C p w z 6 u e x E 0 e p r 1 9 5 z H A t X O K Y g n / 7 5 l 1 + v 5 + O n z y e Q S a g r K x U O q P N K P j 1 g L l S s W j M c k Q Y M g H 4 L j R q h k y Y B 4 b n b p 5 9 M g X S r C 0 L c 4 3 k u / g 5 c Q j H m I y 6 j P M x p E s 7 z / C L D w 5 x R f J K B T O F A g k j h a N h T 2 f j e K u L v J F x G R X 9 5 c E I n W y O 0 M j Q K F V V V s g x F m X Z L D B g l F w e + o Z b 4 3 s j T A C d D 4 S i 6 g i V r y F r L Y f 1 g H F 3 q L h G T c S w H w z t w Q Q / D H Z F J Y b 6 Z 1 B a V i F 9 T M b J k q g 4 Q i c u / D X t 2 9 / N l T 0 i I z D W Q y P b Y J i Z C z X V A A S B j T X H 9 h x G m T x / 8 Y o / f y 6 D 1 A a w y S I R N c b P x + T F f Q K h 1 R B N L r m 5 L O S Q 1 e j c j R 6 u R 3 8 c 1 M K l 6 O u H Q j k V n n / 8 1 / + V d 0 6 J 1 r p q V u + Q U g S a X X H R G B u 9 P b V p b 9 J G Z A J g M 0 w N P 2 N D P U 4 L r P e j D + f I 0 c O 6 Y F H x + X u q E j Q w u 9 b O e h 0 g 7 U 6 1 q t H a Q J g r O M t R l q B q N S K 4 l 5 X k g b c s S V P j 4 6 L O L b M a C L L g P O K i k p K M C Y t w V d e y u o c 8 O D F A N E i 6 o e k Y X R 8 q Y t v O J + P / Z p K t 9 G q a P y / s p k U O p a l J v q 5 M h l 2 Z i p 4 L G M W B v j N I M d i i f / r 6 G y E C f g s 0 g U O H D 7 G U 9 Y u b H d d k f x a c D + j w N c B 5 S N b n k 1 5 5 B g D 6 / P p Y z b a / V 6 V T 5 O W 3 Y u E a O E 8 w k s L j S j / D f I H r q x s P N q 5 5 D s R n J 3 v 4 + a v p 6 6 i Q d 4 e 9 N B f E k J a 0 V H k d o Q C 0 w A A G p 9 6 7 9 1 B G E 9 g L G h M N l 8 K Z l e Z N 0 V r J F b A h T h P c O j 8 d 9 1 F P f Z y a S q M U X F 5 i o 1 2 N L j A t v V 0 t N M A 8 J L N q E f q Q j K c v F + z T 9 d c i R Q u P / i / 9 6 s t L G / a b G c C u u 3 b t O r 1 8 / o q a W G p h S Y D i k m J r D C S A P r C + 3 j 4 m 2 E H y + I s p 4 E 3 R / N w s q 7 D K m w m b 6 V n / F J V U N E o f F P q b D H 5 1 K C K / N 5 u M m l P 8 / c q W g m e y q i j / 1 q X I O w l 1 9 n A 3 x c I r o g q B N A i P x r w U 5 7 r Z V Z s Q N e t N y A T g M x D Q i s 7 M z s i I b o O x B T c N 2 y r C Z r H E k q F 3 x k u T y x 6 p Y D X F 3 A C s T l N l d b r / C p U q u 2 I Z G A c G 7 g U D Z 7 G W n t 1 u M X g 2 4 R U p t D 5 c 5 C 7 v p J V 4 M b V U Q r X S 2 e s A o 8 q n p 6 b p 0 q c X q b m l i c q Z h P f v P x B n B E a K o 4 M a E x / R z / a n u 3 M 0 t l o p 9 9 j V w P Z h 3 E U v p r x s z 3 q p b z x I 0 y t u C i U y O 7 Q x n 3 I h x J K Z n 4 n 9 3 p F W p a b K F F I q n v A y W f N r V H r e O S V K A l g U s t C y n S I R r q h M J p Q N L n k b w B i 3 1 t l j D M 5 5 6 B F L l a 1 E W 1 V S p j 2 s B 9 w L S P T q + V N Z d Q j q X o R t J l Q 0 P 5 M J p L c D E h k t f S 4 X f j b 8 g U J a i f n o a 7 b t j O q V D S x q O T Q 4 R L d u 3 m Z 1 r l F c 4 / A Q g k B Y N w M q 3 j d / + l 5 U Q e D F T B H 5 K z q J F T N a j r h p a t l N V 1 7 5 a Z Q b o S D b i + X V T a y W K g l r 4 G c B C 8 L Z f 4 H h l N U I c o Y Q j e 2 p S J z v D e f z K G z U t D k O X 3 x w h F t Q t R g l C g A q X y i 0 I i r b P m 0 / W Q X z h j A j s Y 2 r d 4 Z b V e j 8 W 4 1 5 J s B G C K 0 G R S L 1 H D g k 3 j 8 M P E U / E w A 1 E Z U M A 2 n R 2 f v D 4 x W 6 N Z T p m n 5 T w N b M B Y z 7 w / d i F H p r W y u N D I / Q 0 y f P 9 F k m g 9 9 H b W 3 N 9 O T R E y a z m z 8 n k 8 h P J n x U w K r f R o h q E x f a B I C y W l t c m T V 0 Z m l r l l d 7 X + C n m 3 k D T g 1 F X N n c p N Y w W F x Y p D u 3 7 t I k E w F j x e B d a 6 t a 2 / + 0 H n A d 5 i R d u 3 p D R h M c Z l v A Y H S d C v d z Y b c j 7 M B v w c B T e O 8 M Q C y M 4 s b S Z W P D w 4 S p F e i 3 w p S I l 8 F W C r v X j r x 4 U 8 B Z g U G p d g w M D J H b 5 Z F B t X i + s O l O f X C S B o e G L T s P j x b S q a O r g 4 Z m M 5 9 z V V F S l l r 7 u H v z s 4 x z l R k c G 0 p K u U T 7 S K V Q J p n 1 w a l B B p v k Q z j P t h P 6 V P r 7 B r i C F d G p D 0 + K q 3 d g X u n o 0 8 u 4 a m N g G v z D h 4 9 l I i A q L V Y W q q q s l M I z n Y + T S 6 9 X o d 4 G 6 9 k 5 c 7 O z L I n W G u k A B q m i Q m M w r K + o U l Q 2 G P k / F 3 D p 2 4 E B v F x t 1 Y E N 6 J t 6 8 O C x r M H x 1 X 9 8 b U 1 1 K Y 9 n T r l Y D K E j m X K O P N k s 5 D H g p 3 A C b n T E 0 4 t F O e u E E 0 P e 2 F B u V 1 x G R G O e j z H O 0 b p h C B H w c G x 9 m 2 d 6 e p q u X 7 9 J 4 U h Y h u a g x 9 + + S C V U k W + f B 4 R U 7 w p 2 2 w U k m R w f k z R G c 6 P / x w 6 o o f 2 9 r z j l o p b 2 d p p h F Q v 2 S Y 7 G / K 2 A j l Y D f O S r a T 9 9 f P E j u n 3 r j q j R B q V l p T K d H 0 t T X 2 Q 7 6 u j x I 6 I G Y r 3 A g 8 X 4 f Q o J / j y Q H T N 0 3 w a Z U o p / G / 6 F W S r I E m T p Q 0 e H d 6 P f b D G a i 1 y 0 y C q P s Z 1 M w H M 2 Z Y H 7 y Q W s N 4 5 B q u f O n R F p J B 2 Q 2 l 0 O j H A l u P z y 3 Z I J w O c j w A 7 C b 6 + 3 L U i J 1 Y c A V G Z M 9 k M / U 2 d 3 j 0 h R q K D 3 s y T K z 0 V d a U I 8 o w C 6 B u C E W X X V U H d 3 l 4 z I N z h 9 + g M h E 6 a / w O U O O x P L R i d T S Z k S U h O + r a / c P I o x z K s g 9 0 M X y c Q l a t Q + d P Z O z r + d z f i + 4 X h C Y Z W c e E z 1 8 m e 2 Z J B a m M S 2 J P m i u z I w E B N r 7 W G F o 9 m 5 O V k N N n s u E g h 2 Z 8 g t X r I n E 1 v v g F g P Y 2 O T Y p / Y 3 d 8 g k c v t E Q 8 f 8 q v 0 p M W r / T 5 R Q R + z 5 I U d s Z W A Q 2 F + 1 U 0 D L N 2 X w 8 p d / W r a I 5 3 N 2 N D A 2 E 2 5 A M k + P D y i + r S S c b r Q v o A 6 v 2 l A Y n / U G Z X R L Y A p W 8 Q g k i G T I V c s / h Z f s g 2 A k s q R c 0 N 7 f Y 2 0 k A A e t p 1 U W G M B h j Q Q Z U 3 l 8 e O n 0 l m L M W z o J 0 E 6 1 8 S + M f c J V q N y t / o + T y Z p t x K 9 q 6 3 W w F Y D z C G q r a s T a W S A / h y M c r D d 6 p Y D w 5 P g w j a I J l x s Y 4 a p u X n j P a r w P O F C B 6 k w 0 3 e Y G 6 4 L b V i r Y n N A I x H j M j v X s d a R o c o Y 5 a 8 B K c V q J W Z j 2 + u G E w P m k O H 3 O j Z 0 N V V J h 6 u d S E j P z 8 1 L 4 S b F A 6 T y I M V A J q h M s J M a s 5 b H w i f 8 1 O d f d 8 S B 3 5 v i Q u Y v f U c A U W S 8 n w 1 Y 4 j g b + B 3 b g b m Q W x w R r w N m Q j 9 6 8 F i I h 7 l l M z M z d P E t P H z o E E Z H r 4 F V x o i l / F U l w B / + Z x Y g s V S 9 c G p Y v y l y A D D z F D N G A T x s O 6 l G x y a Y U B h J o I 7 9 X p d M A V 8 P v a z S f M 0 q 3 n p e M k i m 6 H t Q K 5 6 O Z 5 I Z A 0 p H B g d k N I T B u / 8 V u T G w U i d T Q j B 9 P h u Y q / X 4 0 R N 6 c O + h O C Y w 2 h + d w W j Y h o d H q c i P K S v 6 4 j c E t g l a C m X e r S I R / p F v y K T S t u J 3 L B x N q P O H u s W t b C c T Y u j 4 + / f 3 S N r Y T l j w P x c W u M B g K 2 E Y 0 E Z 4 l 5 L J j t G s D t H m 1 j Z q a e 9 g g 1 8 N M 0 L F x e K T 7 w I + 9 + t r Z G H L W X r 2 9 D l h U q E d z 5 + 9 p A b W F I 4 c O y z L p R 0 4 u F 8 I h v G G 5 s k d a 9 r c Y N a r / X 4 q y X J M q H L W n 2 g r E h B N n B M z z m Y V E w q / 2 p k h w N p Q X X 3 m V H Y A C 6 4 8 Y X s J a z t 8 3 K 6 m G 2 R P V 8 c m e j c H f X R j 4 P U q T N Z 6 l e 8 U r m S M J q f n 9 Z H C w t w s h U O r F O I A N b a 2 / t 1 M X 3 i T + 5 w J e m k 1 k q K V V T W I F R 5 A A J I L K + 4 O z A d k 2 g w m I 3 7 + x a e y R m A 7 p 9 E Q 1 J V u z n s C x 4 Q a e a 4 z s i D Z f F J J K z m g o M w Q S d c R p w X H S q j S o g I a G x m 1 y G Q n 1 d j o G L e Q + 2 Q d h N s 3 b l J p Q Z L K C 1 V h 4 q o f X v n p 2 x c B 8 W S 9 C d 7 n D p Z J l 4 8 e z 1 T J F A 0 D u N K r a m q p S I + W 6 J u W a M u R a z G a b M S T L r p 4 4 Q y 9 f P 5 U j j E M 6 5 v n A e o 8 e E L m Q n X X x O m 2 3 t n R A C P E s x u 9 N 4 U Z w n S 4 I U 5 Z 5 i V D / 1 6 J + I X / 8 T 2 x + N t 9 1 / u A Y 5 0 S x 7 t a q K x c L Z N s J x X 2 s M W a C G j J A w E / q y B H q N o z I y v F Y n Q z 7 K T 1 B o A a Y L 7 S d i J O f k p 5 i 6 j 3 5 X O Z p n H o K K b c p z G 0 s H 1 9 L n j S g Q I / D Y 2 l p S i 0 v 4 e T Z f S Y V U H g w z a z d k Z c x k E O D Y 1 I / 9 7 b A I 6 a h r K E d F 8 0 s E 1 l Y C i T L k m k V B g e w 5 7 B q p 4 4 L T h W Q s F J g I 7 E 7 J Y P w 4 / s / T h Q Q 3 o f X e N K G K C 7 w 7 l d 4 Z i 4 Z g c G w G 4 3 X k z 5 q H v f A d W p i 5 K w o S C m R l F s B / C 4 x 8 a m q a Y 1 P b 4 R c H u 8 F C z 9 U B o 0 A H Y s Z g e j a + K j j 8 5 a 0 / A 3 C 9 w 5 J l 4 C U 0 t 2 r 5 + 9 3 F F b d Z L h 5 M 3 b + O f j l z o r B L h w M D D U L p m w H h 5 i N e 4 s j V c v + 6 j 1 + K + 5 T u K 9 m S h j g / d M e 4 w u 9 T h v T g 2 k q c S 2 t e y A 8 S U 3 h X 3 N + u j 9 A w v C Y L J l 0 L d 2 9 5 B A c S X 9 6 X k B L a 4 m 6 f H D x z Q 2 P k m D g 8 P S w E G K Y U + o z Q L c g J 1 W 4 G P t g 4 / r L O 1 B d T h n Q t U P V S 0 y 6 4 x T w v Y 3 1 T n Q 0 V A j f U k g k C F V f / 8 A 9 f b 2 r 5 F a y 8 t L F B p P 7 + P q 4 f t q r 4 r L z N D z n V G q L E q + s S 3 1 P o F b w N q S Z p Y r g M r 1 c N T H D c F 2 q q Q u O n T i L E u k 9 S X O T 7 1 e W v K 2 0 c m T x + j 8 + b N 0 m Y k E O + t t P K W m H c S I C a x 1 H u Z n U s 7 3 n / 6 k t Z + J 0 p + d 3 3 y / 1 / u A I 2 2 o x i o s s F h g E Q e D R b H 2 t n 0 a t s H + A / t l z f K O 6 o R M I f j F w Q g d q M / 0 M m S P r n Y K n k 9 5 r W n 4 q I w / 9 q o W H n Y F F o r Z D k D S 7 2 s r p 6 b y 9 T 0 1 H q + P V j 1 1 c i 0 8 f u n m b f P A 9 H k A j V 5 N c U r s 3 x U s a K P + M 4 C 6 Y T A z F 7 H q i 5 O C I y U U d m Y 3 4 8 l A J s z X w d r d 9 p 3 Y D b A M F j o i 9 9 d h i x S d m S e A h 2 t w T h n z l 1 / 6 L S 8 c j H Q U z i e b 2 M R g K 4 G + v a N N c S r 2 r 0 8 V t H U Y p Y / f / b Z 9 e H A O G Q c S V M Y i l l L o I E 5 g 8 X P 1 z y H z N 5 i B 8 l n d Z I 4 B V 0 H 8 Q u c E D I b E y P L b t + 6 K h L p x / b b s p 4 R d N A C 7 u m e A A a b Y o C z X o M 4 n W z y V f a s x H q 4 S z 6 T 9 t j p Z 2 g K w K 7 Y D / b O q Z b r w m u F E G K X / t q N L o J p j 7 y g 7 z H 5 S u G u 3 d E K b + 1 e x P C M O E i E W d j k r O K 5 N L w z 4 h D S d X e 1 0 4 8 Y t + v j C O S a Z i w m V e x 8 i 4 N i x I 0 K m K 1 d + p P 6 B Q W s K A m y S k Q X n i y 1 U E D t G b b 9 5 O 6 T U y y m f Z X c a l W y r g a Y v u 2 3 E c X 1 p k k 4 0 x + l A X W z t g z G Q / B S r y + + x A / E N 4 b g J h t 2 N t T Q 1 O c 3 q X S W d P X t a B m D C G V F b t / 5 e T C B c H Z / H Y i J Q A T H q H H i f U z O 2 E l h U 3 w C q 3 3 Y A o 0 y g 0 p 1 t j 7 w T V T q b T A C W X s N S B v V l S b b h 0 t p G L l 7 h / b 0 D i x l 1 x w n B c V P g v c k Q l Z Y V Z z x x z G + y 9 z 2 t B 5 B v f G y C P v v s k r x 9 7 G c s A 7 a d M C s Z r b J x / m P f 9 n X y / r / b K / T T D 9 9 T u / s p V R e s y q b U W w X Y S t n A 3 r t Q + 2 B X Y Z Y y 7 C d R 8 X G p X J 7 5 n l h c L R v n p O A 4 f a i 8 o k K G 4 M g z 1 K S C e x b O i d c B y 4 E d P X p Y 0 r 2 2 T Q D y D X B O Y B z d n 3 v 9 F N D z s 7 b D 4 V J c W k X 7 T 1 2 i F y 9 f 0 k L v D 1 R X l B 4 u 9 X O B y Y X Z 9 4 Q B z F D T 0 c q / n O L y s / g j 1 N J p B R z Z 2 l z H g G 8 p m 2 P b F 6 C 6 y Z j i L D 0 H L n O s V p r L I W G A c 3 Y v Y N 9 r R p f n C 7 D G H W C 8 W m Z 0 P d a 4 M 8 h 8 W p v D F / s j 9 N m + C J 1 q i a 3 p / 5 L y 8 P j p L / 7 i S / r s 8 0 / p d E + h t W X P z w H 6 B k G m m u J k z g m d P / X 5 2 I 6 C N O R z p s x 1 E u U s O S b t M M e E o y R U k c x v S s k Y P b N Y i C E R N m L e C B j t b G a a v u 1 i I f k A M + r G r H E H 6 C w L 2 U O t N g I 8 d S B n b W m S z n f G 6 G B 9 J m G e j H v l u W L V W A D 7 Y L 0 t Y t E I L c 1 P 0 d F G p T q e Y B K f 5 J A N z B 6 G d B Y C 8 b G q A y Y g 0 m n + j + q d F 5 0 C R z k l i r S H 7 8 H 9 h x k u 8 G A w K E t Z g T T Z w A B N A L N 1 D Z 7 m q T N i q 2 A W k n w T g K B w Q B j A K Z D t C F l 5 y / X d s x G a G 6 T E 0 N c U X J q l y 9 9 d o a H p a O 4 F O 4 V J h j S I J W W S V h q y K h R i Q t r q 0 H Y H R z k l 8 K R G h k d l E f r b t + 5 Z B M J e t Z 1 H z s l O 5 y A a O n J / v H K V X r x 4 t c Z Z g R Z 1 D 5 s D X O Q Y P m S k H 0 Z p 1 N p G 5 D / L W k l X y u o t 8 L c X W + j i p Y 9 l s u K 5 j 8 7 S w z 7 s w a t P a o g a Z / 5 M W t i D C 7 P T W G s x t q Y e b W d g O Z 4 r e 3 u C m 5 I y t R o j l 0 + f O U U 3 b t y m y 5 d / E P U v 4 q 6 Q h S m / + f o 7 W c G 0 r a N V O n z t 9 h Z a 5 v V W a N 3 D x o C a h b X / D L A d j x n + N M e E s y 8 d 4 M 1 h 9 7 w O G B r m 9 3 l k P Q q s n F T I 6 r 2 / P M c + W c w S R Z r 0 c T p P p z W x E L D 9 a q 6 6 t F 3 B U T Z U R Y F b d j c H I H m w y O K n n 1 7 i g v B J i 4 k B s 1 / + + h e y d s T y 8 s o a 5 8 X l F x t t 6 7 K H 1 w F j C O 1 r n + P x H m 9 W N g 4 W t z H n z n a 8 + V R 3 j A n 8 8 l B E h o Y B a A y 7 u j v E y Z K 9 F r q Q B E z i u M h v 1 m D k Q 3 V W Y k m r D E a K V l a c N Z P A k T Y U A r C 4 G B T S Y H X V 7 E m B 2 X s d Y e q A U V n 2 8 P Z 4 N K b W A z T P s q E s S W f a 1 f p 5 O H d / x E t F v i R 5 N 1 i f A p v Y B W f 7 J Q 0 n B 4 o X Q L l i 6 Q J 4 b e H j g B M k E 6 r s 8 c n R u K k H 2 I 0 f 5 F L v z w x Q + Z h Q W f V o O 4 O j J F S B b X l k Q U G 1 r H A K F T C 7 z 0 I t g K g A j 9 D 7 W m R l J w O r E K F z F W S y T 8 K s L E r R x 1 1 R 2 R Q A S 3 / 9 4 e o I L T 7 + P / r s W h x s 4 M 9 y D d I H j Q s U j Y T o y Z N n d P m 7 H + j b b y 5 T Y 1 O D Z f f C Z d 5 W a f M a C n 8 U W a T / j e N C J l M 4 q s g k D F I X y T H m b m F n e y f B j Z 4 f p / z J X B I N P L D 9 b R X U X Z u g s b G 1 M 1 j d u k N m l g s e I w r 2 8 P M B s s B 9 D m B V 2 W w c a Y o L q d z l X V R 4 4 D c 6 d y 3 g K T x 5 6 g R N j v T R 8 2 f P Z Q l s b J O D 9 d G 7 u j r 1 V Q p m e Q j 0 g X 1 + I M I S L U b N Z X F L 5 f M z o Z S E M i R S g V + E W 0 j b 6 9 B 2 / z l K Q s V 1 3 x M A R 0 R Z W Q k t h 2 n N P C g 8 R N P n d H u d a e 9 7 e D t g w z Q A u w z C I 2 1 H o S 9 F p 9 t j b B O p 3 e f X A 7 o t 4 H g 4 c v S I b I v T w L Y w 7 F / 0 L 9 q B F Y / M 8 D B s 6 o 0 N G / B e D G i e W E Q j m Z L y V 3 1 u T C R L M u m 0 P n Y S H G V D I T I w E + + w f 6 6 3 p F H S F l i S Y Y P l B 6 N 7 Z H q X u P I q 9 y Y K V 3 o 3 d v 5 k T 8 t Y D 0 b L A C m i M g c K F F H H h i z o t 8 U a E h 5 X k n x u l p 4 g E M 4 j J J X k y q 5 H 2 x k c J a G w Y b I B H t T v f / d H G r r 3 R / L E 0 q u q A v j t e P D Y E H o P 7 w Z m S F A u z + n p t u i G 0 z o w F t F I u o 0 w q O d d l R U k q K s 6 T k 3 l M T q p h x y l m E R p Y i X Z R i Z x j j S W x d i m U 5 v r 4 Y 8 v l M 9 w C v i O s i i 2 j c G o c c D i 0 h I d P 3 G M O k 7 9 l W y U h k 2 T 7 R g Z z y T Z H r Y W Z h k B 9 O 1 B C N g B j 9 + n + 1 R 5 r L c O + + t G q 6 C z G G 5 6 A I 6 J z m o 1 7 O n + S H o z c g l a C o F U o / M u U T t n V 1 x U H m B S a d L l q k v b F R w 1 U g J r m R t M T 8 6 I H Y V p 0 e 3 t r X T 3 7 j 3 9 8 I j C X B C r F e c k v Y d 3 A 7 N / F J C 9 f L Q B y I Q J g R t N l V 8 P s J k M i g O K N O F Y S t Q 7 k I d f d a y 0 F X 6 h k X m 3 u N O L / Q n q q Y 1 R M q k W 2 M y u R 9 s Z n K U z 2 b x 8 2 D 0 P f V B m s C Y m G 9 6 + f V f S 2 C Q t u 1 N 3 D + 8 G m L e E 4 V x G m t i B 2 c T 7 6 u L W l j T 7 b Q N r Y X t h e T A z 8 9 d O I A D z n Q C 3 K 0 W l 3 G h i H p T f Y 6 Q R v 9 k m m c 6 0 o / M 2 R Q X e J N W W Q D 2 M S X 5 H J X 8 f r n U Q H O W U W F 7 F S j Y u C f X 1 9 T L g t b p Y 6 c h Q B 9 v b 2 0 R q Y Q v / P b w f m A 5 c 7 C U F k t g B 9 Q Y j 2 7 9 7 q e y s 3 u l M N Q / L O G P g L d S 7 K 7 1 + a / U p 2 E N Y M B O E g U Q a Y F s K x B I i g U Q 4 x 3 8 g D o 5 v D f i o s T R G C 6 s p m g 9 C M m I R n x R V F C W p p I S / O 6 s e b W d w V M 0 M 2 Y Z J + / x + 2 e P J D o w D u 3 P n 3 p Z s 3 L y H N 8 O S 3 m x 7 f N F N D 0 Z z 2 0 V G S K y 3 E t G Q 3 n A A D W H / j I e + e w 7 3 O d 4 E E h E N z 7 l F 3 R v i e H 9 d V I g F U m E L I g y G j v M H Q 9 1 D / o t J t z i v s C 0 p j s s w u 9 t B c F T H 7 m I w b K l y k E j Y o j I b x 0 8 c 5 3 J w l m d n t 2 B q 2 W N t E m 7 A 9 X 5 T e G m T Y k Y i t b D q B o k z s w y X O 1 a G V W Q x p E m n V b g 5 6 B X C g W z F R X 5 b D d r + P 0 d J q H g M R q Z K e z 0 u W g 1 l e v a A B A X I 5 9 2 T U N u F l 6 z 6 2 U e l x 9 9 i y J f F Q e F T i q q L 4 m x j Y b i T i 6 W P I p m Q h 0 m j C K V c j U h X 8 b U g k g k F B R t 7 E 9 8 3 H G V D L U X i s r 2 k s a O m W W E 2 E s s A W u H e u L 3 t B f q Z s K k 2 1 m e H R H k b M D e g 8 A l Z f u z 1 U Y w L F u l p l l K Q R p Z E Y t K I h E L M Y S n E 7 2 O i Y Y 0 R 5 J V X l u W s S 9 s V H G f d 2 3 d x M N P g 7 c C Y L 9 3 B v o d t B D b V x m 4 n T y d 8 9 M X + q K w l / z n H 9 v Y v c 0 A z 5 F J W 0 N J H S S F b Y K J A l 1 T n D K k U y c J R n E 9 Q m A k 1 v w q b x V m V g W 9 Z U 8 s h o a i o 0 J J K p c U F G Y s + m v z t 2 t R 5 D 5 n A a A p s y G A m H O L 4 U n e U T r V G q a c 2 Q V 8 c i N C F r q j M i c I 0 E O a K L d h s J E 2 Y d N D n b K S q K E R H r k 4 X J c Q x M T j L m o w M B s i s Q 9 s Z H N W x i + D x K J 0 Y 5 J k a G 6 a V u d E 1 O w x i m 5 o 9 b D + g e m P q D I J Z G A f L R 9 e W p K i r R s 2 D K g 6 k 6 F B D X N a l U G v x q Q D S 8 I s m j Q r G l W 5 I Z S f X 7 A o f M 6 G g 5 s 0 u p 2 h + K U I F H u e t y + f 6 8 5 N e R 9 X O M 1 2 1 t L S 0 T C U l x d Q 3 N E X V 5 Q E K h c N U Y 1 v b H D q 8 3 T D e g / M A a Y V R F J B O m F 6 P T c V f T X u o N J C k Y D h F C 6 E U H a i N 0 s N R F 5 X 4 4 l T g j d P o P P G 5 B E V C K / R x T 4 p + 6 n X L I j y J e I x D n N N R S s S i F O M Q j 4 a o p T x K x y 9 c 1 N / o D D j O h r o p G 8 y q t f m 8 p L a x w Y 7 k L 1 4 N q A s Y G M + 1 B 2 c D 0 g v r e 9 w Y V B 2 6 m E K P u W u v p t 2 s x r u o t S J O N w c 8 F I y k a H w R n c J u W o 2 w j R Q K U l n 0 F V 3 t 8 1 q O C C W Z l M q n V E H V b d J z 6 r T E T o L j b C i E W C w u K x 6 Z p c H q 6 + s o G M 8 c 9 V x Z m B 7 m s g e n Q z W A c V b p l F q X p M d j b i F H R 1 W M m s v j i j i s f R x r 8 9 K C r y d N J r 5 G 0 l D 9 d B 7 I 5 U r F Z Q + x X P V n O 4 P j J B S A B f 9 f P H 8 p o 8 z T D g p F L n M c W H 6 w p W t t 7 + H d g b k g h B B 7 S Q i h Y h z 3 s W S a X D K d u U l 6 O o 5 F N T H i X E k j R S Z F I o t c H O K J t S s M O w G O c 0 o g o A C w 2 w a e V 1 + / U v V 8 y W X 6 / e + + o h v X b 8 r 6 B H W 1 N e T 1 7 d l R j g c K U 5 w Q i h h C r I w 4 S Z G Y z a s n h E M 6 H Q q 9 C e q p 4 c Z T 1 L 4 4 B T w s n Q q 8 O e v O d g d H d e y a M L M S o V C I j c 6 W Z l p Z X u F M j K K I 0 p H T F + j s u T P 0 2 e e f y H J j M H o B v G 0 P T g Q T B K 9 G I h k S c d q S P n z O k A l S y C 6 J V E j Q g b o o l f r j b H d F x F 3 e X B 6 l z q 6 m N f X G C c G R N t T Y Y o T K y 8 u l A B q Z O I h 9 L I 0 m x 9 W O 6 U b U 1 5 c p f 7 r S 0 P f g N H C x K X K A M H x g S C L E 0 r E i E w K T y X a d I d 6 R B p Z M q Q Q l + P z w n E s I B u d F V z d 2 q V 9 b d 7 Y 7 O N K G A r C o B x 6 s U v 1 c r B Z E q b W 5 V u w q A y x v t R H Q 4 V i 6 1 2 e 1 L R D S 2 I g j B D G E 0 b E i k s o 3 x B I J J T H y E + J O B 5 k g m a L o k M S a f 0 w o + + x u J 8 G x h M I D i 8 U w K 5 M N 0 D g / x J U g v X h 8 n / o G R v Q V a r t K t A v r o c i X k n 2 I 9 v D + Y Q i D d f P S B N E E 0 k E R S 5 8 z a i H H W D c C U q m 1 I i b D z 9 B t g p H o C S Z U W S B G 7 k C Z / h b n Q Y Z C O T G 8 m g 2 L N E L L h D 1 z 2 z o 6 6 Z P P L l F Z S Y G s i G T U v s Y N t v 8 / p 5 c M 3 h v 7 9 3 4 h x N B k s Q g E y W T L T 0 s k E y u V r 6 c m Q i 1 M p O a y K F U W M q H 4 H E j l 9 y C d Y L s 5 R q f P n 1 h T X 5 w S H C u h 0 G c B 0 u B h L k f c t D A / h 2 a P g 9 q p 0 K B 8 H b U P y 1 P g B g H 7 1 O w 9 v F v Y y W K R y h y L 4 y G T R F b M 1 9 Q U x a R / M c l l X u J a I B d s J 0 4 j e E n l R 2 J J K i z c e B m z 7 Y Q j n R I m L L O u / P 3 l H y g S X K T O j j a a m p q m 6 p q q D P 1 5 f J 3 l q u x L / J p p 9 H t 4 t x A y g S x Q 8 0 x a C I M 8 B E W c N I l A M J W H a 5 p Y 1 Q M Z o Z X 4 / A E h E t Q 9 x P D y d l R G y F 3 a x N + U u 7 4 4 I T h W Q g H z c S / 1 7 O u m 5 Y V Z e c j Y 6 R 3 L i b n 1 2 t i w o B Z C u J E 0 z n Z E 6 W J 3 l D p r 0 l J p M e u a P W w 1 b A T K s J m M A 0 I f a z t J p R E r U v E B n W 4 N s 1 o H A n H g f H w m y h z 2 c z y h V j f y u + N 0 7 I P j 6 i s d C k f 2 Q 9 l D W V k Z d f d 0 y U N G D 3 u U C V V b U 0 0 R 5 g t 2 i c g G V t f B q G Y P 3 q / x O m / g H t 4 W e K 4 g k 7 G P s s g k x E m r e a o M 0 x I J 1 8 J d f r Y t b F P v k m I j I z b q H p w R 2 A c K a R c M Y l v 9 c F p w 5 E g J e 1 h I + G V M H + w m F E Z Z e S n n A j j L r 8 Z Q 0 p j V y 1 b Z Y V Z B 3 c M W A 8 I l J 5 k M W R S J 5 N g m p e y k g l v c E A 3 H I I 0 i F J O I J Z M c x + D t i 1 P X y f N r 6 o f T g q N t K I R Q w i U 7 w G P i I V o p v 9 9 P E x M T N L W M 8 2 s x k W N R R r u 0 2 s P P h Z J I J i i S G P I o 4 k h a S M T E 0 f l p E i F P k Q r 5 x x r V 6 A d D J n j y M C f O k A k q H + y o G F z m 1 X X 8 / Z n 1 w 2 n B 0 T a U g Z c N V C 4 7 G h 0 d k w c 8 P T 3 L o h U F p i S P X U p x W a 3 Z 3 i Z L i O 1 h s 7 A R S D 9 y S d u 9 e Y Y w F p m E R L Z r 5 F i d M 2 Q 6 2 R w W 0 u B Y y A T i R G N S x k b N w 4 4 s k E 6 B w q y 9 w x y K v C D U X K p I H n p t b T V L q 3 k q L S 2 h + h I Y q v D e 6 R K 2 4 d b Q 3 q 4 c W 4 n s J 2 y I I 0 E I g p j J p g l j y A P 7 y C K S H H P M B P G 6 E 3 S u P S x O B u Q b M o E 4 6 W M l n a K R C E u n O B 2 5 8 K X + d m f D 8 U 4 J E 5 Z C 0 K O T 9 O J F L y 0 u L s k D x + Z c p s W 0 S 6 m 9 V Z H e F S C h F D G E S D Y y Z Z B G Y i W F V F D E c l G C z r R F 6 M O W s J w 3 n b b G A Q G J h O u h 7 i k p B Y K l q L i 8 e k 1 9 c G p w m w X 6 n P 4 X 9 J T K Q 8 b m a 5 2 d 7 R Q K h a m x N G o V r h 3 Z m y F v B m r d g z 0 o K D X P x J b H T h N I n j 2 O L U m k C G E n E 9 I u L p + P O 0 M i l d w u J X 0 M i S w y M Y k G p q K a S A m R S h h 6 h v j Q u U 9 s N c H Z f 3 m h 8 h l g 5 / f K y g o p g L m 5 e S m M x j K 1 P h s K 0 0 i p X F u E b u S Y M J 5 Y Y L d v L y r E s Q V + 0 e k 0 c R R h 7 K R J n 8 v M T 5 D P k 6 D z H S E 5 V g R S 5 0 W 9 k 2 P V z w Q S N Z a n x G Y C i d Q a E v x + v 5 m V m x / I K 0 K F i + t p e H h E p s i D W E v L S 7 S v J i o F o w q a 1 Q o m F d r U 7 N 0 i A h u s Q w F H x v p n d x + y S W U 6 Z J G 2 y C L 5 i M 0 x x x w U q Z L c g C V o X 2 1 U 1 D t F I E 0 m D u J o 4 D z E p n / J u M o V k e K y k C W I d e q L v 9 a / K j + Q N z a U C a V 1 z R T h h 6 8 M V h X b W 0 U E 4 I e s V Z G w v N U e X g f b M 9 J k s n v l R A p Z r n D O 0 2 Q y I a 3 q J e j D 1 j B V F 6 n Z A o Z M R r 0 T y Q Q i a T K Z M k S M x h J L c k e j M a p u b M l Z B 5 w c H N + x u y Y U V 0 q 5 4 + F D w 3 s 0 E O Q C M q T C Y h 8 o d L S Y G G C L d y h g 1 7 0 9 b A w 8 M 3 n R Z B I J h C D P 0 x D H Z j 8 x G d Q 1 i i S G T J w h 0 s d O J p V m V Y 5 j k U x I 6 x h l C b K F w x E O I b G d 8 F P 2 f / B R 7 j r g 4 O D 4 j t 1 c Y d l d I o X g 9 X o p E B t X B S K F o g t P C j B B 3 z 5 P u 8 / r S t a f 5 r F b k U E a H U T q m I B j K 6 T J k y a X y k d s 8 n C N m x L k o U w y i W r H s Z S T L i t V b q z u a U 1 D f g 8 z C Y Q 6 + e m v + R f m L n 8 n h 7 y y o S x 4 / R T n B 4 9 C a m x q o O Z S 6 O k g k p F U q h A R / u O J n 6 7 3 q 4 2 / 9 p A G K i 9 q r / x x D A K J J O J n Z i e O x D r P P F N D L k U 6 n W a C i K T i c K Z N d d h K 4 H O K T B y Y N M p m Q p 4 i F e w k f L / x 6 s 0 H u a H 0 B 6 i 4 j D W R P E R + E o o R C l R L o U y M T 1 J b J R u 0 c d b X U Y C 6 o I R c E i d o f h W t x x 4 U F I E k x i t I p Y l k J 0 w 6 n Q 6 w n 9 L n 1 L N F G m S R m I 8 x R d 0 i E 2 w m L g 9 c C 0 l k H B B G M o F A S M N u Q n p x N U 4 B V 5 T O / v r v 5 J f m I / L O K W E P Q V 8 F l Z e X 0 d j Y B B c U C h K F B y I p M q l j F D x s K 1 S I 3 T s v K k 0 c W 4 x n I u S w B 0 M Y e 1 r H T B A V 4 1 h L J E 4 b y Y R z d a U g i S E U l w n n g T R G I k m a 8 0 0 e H B B x b g z F b k r E 6 N D Z i z n L O l 9 C 3 n T s 5 v r z + A t k v 6 j C o g K q D E R E S h k J J W Q y s V Q K d a w q g i a X t N Q 7 H I Z I m k S i 2 p k 4 O + D Z S K z T t l g I o 8 9 Z B E P g P H W s Q l 0 x P H u G U E p C Z U g m x E K i u H h r Q S S M J l 9 i V Q / b e 9 Y 2 d 9 h K O P / + 8 l b l M 0 i W N 5 H P 6 6 X u a u j t K D C Q C u o f 0 p p E k l a F a k h l K o O q T M q e 4 B c d 8 h n p + 8 C 9 q U V S k D Z k 0 g S w P w e T h 1 i k k M n n 2 B D G 9 u z k M 8 z 7 O Q Z x 1 H m 2 f 1 w 2 A v G x R S I d G z U P / U 5 4 T 4 z L a n Y J a 0 a w 7 f X l f 5 I 7 y G f k P a G A R E U r F 5 Y i k 1 L 3 1 P w Z Q y r R 8 V H g i C W o i q X U H l X Z p A r y i / A q n 6 H v Q a l 4 C K r B k P u V d D r Y y S Q k k T y b R E I s z 8 1 c b 3 + G H P Q z t a t 8 0 n B x W k h l I x P I B f I g D Z s p F G X b N g g P X 4 w K P R G 6 + D f / o G 8 g v + G 6 0 T u S 7 1 V I s L o a p U d P Z 8 n l 9 p D b 4 y W 3 m 4 O H 0 3 y M T b k Q Y y 0 K p F 0 u H K s Y I y v S A b 0 I K u 1 k g C C Z A I N M S h F J Z e F F H Z s g x 3 I N S G L L E 8 K o N I g l s S a S X A d y I W 2 R S w V D P h P D w y c j I W x S S j k k l L S C N + / h c I r V v R j 5 C X s 8 R e g X f / O X V F q p t i v K d 6 A G c Z T / o a g o Q C V F H i W V Y E t p 1 S 9 b 7 V N p V d g i z e y t q 5 V W F c R e 4 Z w A 6 / c I I R Q J 7 M S w K j w q d 8 b k P p P P 9 y Z k 0 P e n g 1 z D a p t K p 8 l h E Q f P C u + V 2 B z r W D 9 D P O f a Y v Q n Z U o m O 5 k G Z p J 0 d 0 C R K c 6 q X z I R p Y 6 2 W i Z T D d 9 T 7 n L N t + C 6 2 T v q j N q y R b h + c 4 g S K Z Z A k E 4 i q Z S U w r G R V B k S C m 4 Z S 1 J l S i x + k c / k I 0 n L k c p i W A l B + l x m / p Y A h F E J / W + P O e C M X K P z J Y + P k I e 0 j q 1 j O c c E M n m i 9 t q O N T H N I p X p 4 6 w Y h O I 0 Y l x z o D Z C h V j p F W T S D R g c E G F W 7 x 4 M Y 6 F K 1 d C B T I l 4 h H r q X f T F b / 6 7 / P 6 d g h 1 H K O D q 9 Q F C f 7 1 R + 6 A G Y l p 1 W v 0 z Z F I E y l T / 0 m q f I R U o s o Z g K q F h 5 d j y 1 k P 2 B a j w O p k D 6 p S 6 h q u 3 L Z Z X i S V H i K C u R V q d N / n 6 O C s w K 2 z H O m 2 I p E l j 8 n A s U s l K p y W Z k V Y f t I R F y l v q H k u l l X C C n n A V Q x q 2 L Z Y D S 8 S j V F 1 M 9 J / / k c m k n + l O g e t m 3 8 4 j F P D j 1 T 6 u T k Y 6 a T I x u T w W q S C p m A g 2 c p l l d N d I K h B G z k l K X Y M v k X M 6 z 8 C W f G O g b u M l F 1 C h d a y i X D E I w D E H y U U s a Z 1 n C + l j T R Z 7 W s i i j h V x T J 6 d S I p E i k y c B w J x a C q N U W 0 J y J K g u Z U k v Z w k J p B y R q j u D B O w y b W b / v n f / h t + 6 Y 4 D E 2 p M y m C n A Z X h z z + + Y i t R S S i 7 k y J b U u V W / z R x c I w P N H m g j 8 T I 0 u z B O Z W S t E T y a p B 5 p J B + 7 F a K f 7 M B V 2 X r B O 5 F p / Q l i F W e x B z M 9 S p f n b f O 6 f P p P E M c D k I U l Y b 6 x g m L P O a c I g 4 T K H v R F R 2 3 V 0 a p v A B k S d D 9 Y Z e o e O j 3 E 1 t K 2 7 F i M 7 G a x 4 + a / u X f f 5 t + d j s M O 5 Z Q Q D y e p J + u v u S 7 B I E y C W X Z V E I k Q y h F J u Q J S a y g 8 s E L o Q 7 y 1 A E D 5 1 U s k G y d 3 h R Q q X U S z M C r R C a t T 3 K s s h F z C v 9 y T p F C n Q I R 9 D U 6 j d h c I z Y T / k A U 6 x p 1 L P a R T i N f k Q u k y k 0 m 5 a B Q K p 4 c g 0 R Z Z D K S y c M N 1 j / 9 y z + Q 3 7 9 z x 1 W 6 b u 1 g Q h l 8 9 / 1 T v l N D J C 8 T R x F K J B W T R S S U R S p F K E U g k E W l 5 V j I k y a Q y k O S 0 z o 2 0 D l I v B 6 o 8 H g x 4 A o s k X k 1 5 y U D B D C x J C R W a R 3 r Y / z J v y F J R k h L I 4 l 1 n i E S S G c 5 H 5 A H s v C x l b Y 6 g E E m e P r 4 G H Y S k 0 m 8 e + g T 5 B j D i p I c P B 4 m 0 / / 4 e w o U O H d d 8 q 3 A r i A U 8 N 3 3 T 7 h u g T C a S J b E U k R S 5 G I a G C m l 8 0 E S R S J Q h N l h p R k c g z E S y T n 5 t 9 I G + u q c U A 9 f F 4 F V E l y 5 V W R L q 5 M g g + S Z c 3 K I a z i B O D v N w Z 5 W A a S x x Z a X T x N G 8 j i N P M R M G i G Y x O o Y d p P Y T 5 B M E i C Z + D i b T I k o + X 0 + + p d / 2 1 n e v P X g u t W / O w g F f P P t Q 6 5 q h l A q X l d S g T S a X C r Y y K U J g 7 T Q R f i i S K P y D M y 5 1 4 P r M F 4 l D a B S W 0 A F V w n 9 D w K k 0 3 J e r l e x e a 8 i i Y q R U O c 0 Y R B s R M K x I h M H T S o l g d R x B p m Y Q E h D t R N J J R I K Z F I j I W S k C t Q 8 z i 8 I + H e s A y I X m F D j 6 u n v E l y 7 9 p y W V y K a U F D / l H R S J E s T S k k o E M J O K m a H z l O c 0 n k A 8 l W m O r S l b Y l 1 o I v A i u z H + g g E 0 L H k m X N y i H N I 8 0 F 2 O i M o o l h p i 1 A c C 4 l A G H W c J h C u 4 x h T N 2 x q X t p 2 A o E Q g 0 R I K 5 s J m 0 v X N 9 T R b / 5 r f q 0 J 8 X O x 6 w g F 3 L / X S 5 N T S 0 R Q + z S R x A u o C a U k F l N i D a l U z C / 6 G E R B j E 9 N x + p f D j R U 3 o b g S m w g K f u x p D n I v z 2 W V x V L W u f Z Q v p Y E 8 d + r M l j J 5 K V F u K o a x S J O N Y k M o R K k y m t 5 o F M R E k 6 c L C H v v j V J f y 6 X Q X X 7 V 1 I K G B h Y Y W u s r R i 1 q Q d F R a Z F L E Q Z 0 g q N 1 i h i G Q R C r E Q R l 4 l V p G K F c w 5 O c g J r s s a O g E u W G m d 0 h e h 4 s t Z c w 3 O W 3 k 6 r e P M Y E j D Q Q i k j 0 E W i 2 C G U D Y i W e Q C e T S h I I 1 w r F U 7 C f G o j P z / u / / y V 1 R X j + F E u w + u 2 w O 7 k 1 A A K s n X X 9 / h y s A P Q i S V U v 3 s 6 l / a r Q 4 C m Z i Z Y U 8 z V F 4 W q X C k M u Q Y S K f S y C w A k M G k T B o k s H I 4 w r G 6 S G I c y z U 6 b Q t y j D 8 Q Q v L S s Z A E a Y l t R M I 1 I A 7 y h E A 4 x z E k k i G V J p F I J Z Z O I F t R c R H 9 0 z / / P X n Y L t 2 d I P r / i c 1 h d L d O 9 F c A A A A A S U V O R K 5 C Y I I = < / I m a g e > < / T o u r > < / T o u r s > < / V i s u a l i z a t i o n > 
</file>

<file path=customXml/item2.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6 f 9 a 4 8 f c - 9 4 6 3 - 4 1 1 2 - a 0 6 e - d c b 7 0 4 4 c 0 1 3 6 " > < T r a n s i t i o n > M o v e T o < / T r a n s i t i o n > < E f f e c t > S t a t i o n < / E f f e c t > < T h e m e > B i n g R o a d < / T h e m e > < T h e m e W i t h L a b e l > f a l s e < / T h e m e W i t h L a b e l > < F l a t M o d e E n a b l e d > f a l s e < / F l a t M o d e E n a b l e d > < D u r a t i o n > 1 0 0 0 0 0 0 0 0 < / D u r a t i o n > < T r a n s i t i o n D u r a t i o n > 3 0 0 0 0 0 0 0 < / T r a n s i t i o n D u r a t i o n > < S p e e d > 0 . 5 < / S p e e d > < F r a m e > < C a m e r a > < L a t i t u d e > 0 < / L a t i t u d e > < L o n g i t u d e > 8 2 . 5 < / L o n g i t u d e > < R o t a t i o n > 0 < / R o t a t i o n > < P i v o t A n g l e > - 0 . 0 0 8 3 6 4 3 3 9 3 0 6 3 4 5 7 2 5 < / P i v o t A n g l e > < D i s t a n c e > 1 . 8 < / D i s t a n c e > < / C a m e r a > < I m a g e > i V B O R w 0 K G g o A A A A N S U h E U g A A A N Q A A A B 1 C A Y A A A A 2 n s 9 T A A A A A X N S R 0 I A r s 4 c 6 Q A A A A R n Q U 1 B A A C x j w v 8 Y Q U A A A A J c E h Z c w A A B C E A A A Q h A V l M W R s A A D q b S U R B V H h e 7 X 3 3 c y R H l t 5 r D + + 9 d + M 9 O Y 6 c G b p d 7 p 6 L U 9 x K p w s p 9 i 5 C d 7 q 4 0 3 + h P 0 i h n 7 T m y C U 5 5 C w 5 3 n s D 7 7 1 t t O / W + 1 5 m V l c 3 G p j B E D O o B v A B 2 Z m V V W 2 q M r 9 8 J p 3 r d z / e S t E e q L q 8 l M 4 e 6 a T p 6 R k K + D w U j 8 V o O u i n Z z P F l E q l 6 J c H I + R 2 k a Q n x i e p p r a a + v s H q K S k h J K J J D U 0 1 p P b 7 d a f p v C g P 0 i h U J g i 0 0 + p u L i Y 4 v E 4 V V R W U C I R 5 + M S q q u r p e G h I U q R i w o L C 6 i l p X n N Z 7 w t J s Z G q a K q i g o K C n U O U T K Z p F g s S o F A g c 4 h i k a j t L C w S I l 4 g i L R C E U i E f L 7 f E Q u F 0 1 N T d P R Y 0 e o l O 8 R c H G e C c G V Z b 6 X K r 6 n B N 1 + O U o L y 0 G 5 Z r d j j 1 C M z z 8 8 R v d H v X S y c V k q X Y I r f j A Y p G t j d U I g o K t w i E o C K S G c 2 + O m w 4 c P S T 5 f w I Q g e v L k G R 0 8 u D + D E H h v X 1 + / V N j V 4 C p X 7 g B X R r e Q K h I O U 4 K / 6 + j R w 1 t G I o N E I k G h 1 V U q K S 3 V O W s x N j p C T c 0 t + k i B 2 w s h U i 6 A R N k x n l M q l e T v K a P Z + S W 6 8 X x Y z u 1 m M K F u 7 1 p C e T 0 e O n z g G L 0 c X q E W / y A F V 0 O S X 1 9 f R + E o 0 b 3 p W i G F x 5 2 i X x z g D B s M 0 Q x w / O p V L x M y R V 1 d H e T j V h 6 t 9 5 U r P 9 L n n 3 8 i 5 + / c v k v 7 D + y j U q 7 o O E b F v 3 X z D p 3 / 6 K z + l J 8 H k D R Q k J Y + A C Q Q p C 0 I g D Q k J Z o A t 9 s j v w F h d W W F U s y T E p a a X k g n h i G O H f N z c 0 y i G B U W F Q t Z 0 R D g O s R J v h e v P 0 D f 3 X l B M b 7 v 3 Q r X 7 3 7 a n Y Q q 4 Y r n K + m i + Z B X V L H P u p d p Z S V I U 5 N T V F B Y S E W V r X R r y C v X 1 p c m 6 E R L X N K o g B s B E m 5 u f p 5 e P H 9 F 3 d 2 d U o k X F 5 a o s r K c K q u r O L 1 A 8 / O L N D M 9 z e p X n F W 9 Q l a r D l N Z W Z n + h J 8 H S A 2 u 5 e T h x u J 1 S P F v D Y V C V M Q k A 6 D u B Q I B m h w f J 6 / X S 9 W 1 t U K Y M F + D z y 0 o K q L p y Q m W s J V 8 3 k d h J n B Z e b l c E + P 7 L O T z Q y N T t J r y 0 P D U r H z m b o P r 9 7 u Q U M 1 N 3 T S 2 X C o S A u F 8 6 x I l Y q v 0 6 O E T O n j o A F f + C v r q a U B f T S y d I j Q 3 O 8 M k m G E p t s o 5 K T p 0 6 C A V c Q W y Y 2 l p i S u X m + 0 q 2 F 2 k 7 Z X 0 5 z x 8 + I j t p j o a G x u n Y 2 y b o N I C I P T N G 7 d F e i 3 y Z 8 z N z g l x T 5 w 4 R n 6 / X 6 4 B U e 2 q 4 e j w E D W 1 t E p l B n D 9 z P S U V P y 6 h s Z N q 5 F j I 8 O i A k 6 M j z E Z v V R b X 0 / j n N f I 3 w H M c g N Q w 7 8 d W O b f C A K h 4 l R V V 9 P g v J + 6 a 9 k + 4 z w X f + / M z C w l y / b R i 5 f 3 5 P r d h F 1 H q J K q g 1 R Z 7 K M i X 5 T q S + J s N 7 B E 4 Q r 8 5 O k z c Q r 0 D k x S r P a C v p o f U G i C P u w g I Z k B K u 8 s v + c p v + f S p Q u 0 y i 3 4 8 N A w d X S 0 Z x A o G 4 8 f P 6 E j R w 5 L + t G j J 9 T T 0 8 V 2 V V p F A 7 k h W U C e c Z Y S F R W V r K J l k n Y j g A w N j U 3 6 a P O Y m 5 m h q p o a S e M e Y Y e 5 + f e Y 3 2 j I C / s S q m O M V c k X U 3 5 u n A I U 4 L b h 0 3 0 x u n 3 7 j t z X y 5 V m S r p Z i s 3 c k f f s F j C h 7 u w K Q n k 8 b g p U n q A L H U G p u K i 0 q D T L o S Q V + t K t / 2 r U R d f 6 / V x 5 U n S s M U b V J U n J z w Y + Y 2 B g k B Y X l + j A g f 0 b V n x 8 1 9 j Y B N X W 1 V C A J Q 7 I G E / E q V 6 3 + H Y E g 6 s s r W 6 J X W U n 2 5 t g l S u 6 U d / e B k G 2 p Y q 1 R w 9 e v I L C I i F 4 n O 0 m q H h T E + M i / Q y x A H y n 2 1 9 C V 3 p V Q 4 J z H T V J q i t l G 3 S 0 g B s Y L y U W 7 l G C b c v d A N f v r + 5 8 Q v m 8 H j p / 9 C A V e G I Z Z J q Y m G R J M C G q V T Z w f j 3 g / f f v P 6 R T p 0 7 o n P W B a 7 / / / s 9 0 8 e L H 5 P M p F W 9 y c l J a / q r K K i G 6 H V D / 7 t 1 7 I J I M r v T N A q S A W 7 6 0 T N k 2 u Y D f B A c G z s N e N N I I Q B 5 s I Y O V 5 W V a X l x k 1 a 9 F r j O f C S d E B H Y T v x 9 5 8 Q T s N q I b A z 5 a j n j o 8 / 1 R e j g W o K W o T + 4 7 u f y A v 3 f n O y u 2 1 l / r Q B Q E C u i X p w 9 R w B 0 V M q H C v n r V x / b O s t g z x o 4 x Q K X Z i E y A U t 2 0 2 3 w D o M L 1 9 / e L l 8 + Q C c D 3 w v 6 6 / O 0 P N M K 2 k B 1 / / M N X f K 5 Q X O x v A 0 i Y s v I K q + L P z 8 4 K W a D O G e C c h + 8 b Z A q x h I E X E N 7 B x Y V 5 I R P I B n U O Q B p k A v C + m a l J e Y 5 o E E C m K W 4 c A K 8 H v W k p q i h U j d V 3 L / w 0 O T V F X V V h i k Z j 5 C o 5 z s 9 a 2 Y M 7 G e i r l P 6 H n R o + P 9 X D x n K E V l d D N D g 4 J I X d 3 t 4 q j o M F r k C H D h 3 g q x R e R y S D 5 a U V y 1 m Q C / C c w U b q Y + J 2 d L A B l g V U z O B K k M 6 e / 5 B a W t t o m i u p Q V t r s 3 x + J J L p p n 9 b V F Z X C 0 l g G 0 E y g R C T Y 2 P S k M D j W M g q o o / v B f f e q P u l Q C 5 I o O W l x T V S p a K q W k h m U F d f L 9 4 + O C 1 A w t E F p h V / F o K n q J Z W I k T H m x R B k 4 W H y c O q d a 5 y 2 j H h D 1 f v 7 k i V z + 8 P M J m 6 x f P 0 7 c M w f X J I u Z H n 5 x e o v L y M o i j g R N K S B G 9 K J u D a 1 e v 0 4 Z k P W J V U f T Y G y 8 s r 0 s H b 2 F h P b W 3 K O 5 Y L M O o H + g f p M E s 5 k A u V d 3 Z 2 h k l e K p U f E m C K K + j 0 1 A z f h 0 9 c 6 o 2 N D Z b U 2 U p M T U y w X d S g j 9 b H C q u S / J C Y P C G q q a 0 T q W d U Q z x j / n E s 6 e A 6 L 6 b n U z 4 a m v P I 7 0 W 4 1 B O j g X k f T S z 5 R M X 1 R 1 7 w 8 2 e m 7 U C 4 / n B t 5 x E K D o b q u m M 0 u R i H s s / 6 f J g r a Z I r 7 S x V V 1 f J N Y t s F 8 D F W 6 Y 7 W T e D v t 5 + a m t v 4 1 Y + s 6 / n + 8 t X 6 N P P L u m j 3 J i b m 6 O F + X n 5 X X A g R C M R a u v s 4 r w 5 I V J R c Y m o U n A 9 4 z d X V V W K A + P W j d u 0 b 3 8 P N T T U 6 0 9 6 / 4 D E w q i I p U V u l C o q 5 b n B T Y / O 4 E V u q C r 4 t 8 K G w 3 0 9 m / T R 8 H y a V I U s 0 C N x t z g 5 / K w e J o J P 9 K f u L O x I Q v k r T r L 9 E q c E t 4 L 7 i o c o 4 G e C s e p j b + F R G e 7 e v f 9 G j g U 7 0 F / U w m o Z 3 O i w D U A Q d A j z J 1 L P v h 6 2 2 d a 3 f c b G J 0 T V 2 7 e v W 4 5 X u Z W H L Q V V D F 4 1 O B I A 2 D 0 / X b 1 B l z 6 5 S K W l J d b v x h A m O F L w 3 d U 1 V W y 3 Z N p / 6 w E d t n j f A l d 6 K C b o L / v o 4 3 O W / b g a B A m U d y 8 X Z t h O 8 r M k h 9 S H 6 g a J Z N z r B k v c Q P n 4 8 6 B C Y h w h 1 M f b Q z 6 a D a r R F C a 4 2 c j 4 f H + c V b 8 k f f + g T 7 9 7 5 2 D H E a q g + i R X V C Y T t / Y V y 9 e 4 8 p V S T U 2 1 D G K 1 I 8 y V D B U N E m o z g E M C / U 0 w 6 j G I 9 H U d q H C D w 8 n Q P z B A F e U V I n H s G B 8 d 4 Y r m J i + r d j U 1 t T p X e e L Q v / X w / i N q 7 2 y j W q 7 A I A A q Z T g c o Q H + P A z S 7 e j k 3 8 K t P v J x f n R 0 T M Y N t r G d W M / 2 j e o 0 v k X n z p + x O q J n W f q N 8 H W Q d v g 9 c 7 B / 4 j F q a W u X 8 9 k w 7 n I A Z M I 9 Q 7 p D Y k F S 5 Q J I W s w q 7 A / P k x R O K k + g C X C r F z C X q 4 s T d O v 5 z i K V 6 4 / X 7 u 0 Y Q h V U H a b V s F s q U a 1 n l M o 8 S y K Z 0 C K j E n Z y 5 Q N k h P T 9 5 7 Q Y O C g S 5 V L P m z s A Q E L Y S S 0 t T V R b m y Z A L j x 9 + l w 6 Q O F F q 6 q u p I q K d O d w N q Z Z C m B 0 Q j Y g S X E / M y y 1 l h a W p N + n q a V Z G g n T C Y z z 1 6 / d l B E Y f / 0 3 f y k O F z g 1 Y O v V 1 d d K P x l I A M l R z C r b P N t r 1 W w H 3 b l z j + W V i 0 6 e O i 4 N z g o / p x L b E C g 4 L W A r N T Q 1 0 T A T G M 4 L D D t C Y 4 K x i g Y r y / x 8 Q 2 E Z S T E 7 P S W f D e C 3 R l i K 3 5 q E / Y c c R a i A 1 0 W 1 Z S l a W H W J J 9 Q b G 5 D r d w I 8 v / 2 f / / 6 / d T q v U d l 6 g p Z X X C K Z U u E 5 O t S Y 4 g p f I 9 4 4 q E 1 9 f Q N 8 X C 2 E G B 4 Z p Q n X U U q 5 v K y o u a i r 5 s 3 7 R y A F 8 J k r L A U q K p S K l g s y K p 0 r c V t b C 1 W y F H h d J 6 0 Z g w d 1 z 3 S u A q i A I A 6 m U I B E i X i U y r l S w 7 l y / 9 5 D U e V A K D g 5 M C g X U u 0 e E 2 V y c k o k K P r g 4 N S A Z w 7 T O T C i o 6 9 v k N X H J f k 8 q L x 3 b t + j 1 t Y W 8 n P j g r F 6 5 v s x G L Z a e w c 9 / D k Y 2 w d 7 C b 9 p Y m y M V V R F P r w P d h P I V 6 Y b D a i w c F q g w 3 s l 4 u K Q l u Q J b s K 7 a u I 0 s o A B u n x / P l b H E 3 P 6 b H 5 j R / g w A 6 X V X M G Y Q M U R 2 l 8 d p A 9 a Q u K 6 t q t j 6 D d C J U d l m J 6 c p o T N H R y K 4 Y M y s Z 6 f A n b P s 2 c v q I 7 J u h F Q W V + + x O j z 3 C M t 7 I A h j 4 q o h i 1 t r D C U s o T B a A u o a x c u f k R n z 5 5 h t a + D 7 S k 3 d f d 0 i + c S z p J 9 + z q p v Q 2 2 X r l U b I w O B / E w m P X M 2 d N 0 n l X A A w f 2 y f P A N R i o C 9 T W N 9 C U d u O 7 + R x U N z Q i 6 N s y w H P N 1 U k L M h p A 3 U O H M C T s s W b 1 2 Q b I u z c M + w 0 9 V 2 4 K x 7 g R 9 D A 5 s 8 o 1 H 4 P n t / + a / x K q s a a V O q t j 1 F Y R o 5 G + p 2 I 8 N z S k 5 z I B m K p R w p I K l Q N O h b 5 Z p b L g E r h 4 q 4 q T T D I X P R j 1 0 c M x D 9 W X p 2 R 8 m h 3 L y 8 v i b j + w f 1 + G y o P P 4 L q X A V R U T N M Y H R n j V r 5 a 5 6 a B U e h i i / B 1 G N S K S j / F F R K k C n I l X p i b F z U Q h M R v h p o 1 z i o b 1 C p 7 Q 4 H v n W U C N D Q 1 0 v 2 7 D + n g 4 Q O i 7 k 1 M T M l A 3 t X V C K U S M f l M j C 5 / + O C x I i B / H o C G 5 + m T F 6 w O d / D n q p v A 5 E d 8 L 0 h Y W F g k f U z Z Q 5 p A T D Q E 9 v 6 4 Y r 4 + / d t S Y j / i M + G s G F 9 0 y / N F i e C e D S T N D z C e C p C P F n V u / s L 1 H 9 f z 2 4 b 6 8 s w x b p X D 0 v p C 3 T N O A D u Z g O z j / l k P v Z z K Y g w j H l m l K N t Y n Y 1 F V B p I U V k h d H 0 3 r b I U W + r / i W q 6 P 6 K h + b V T I / b V 8 X u q V U s M G w 3 1 C u P 8 f r h 8 h U 4 c P y x q G 2 w L U z F R Y Y c H + p k I z W K r o C 8 I H a S w c z q 6 l B f Q j u m J C b Y 3 I l T f 0 M g k C Q r x A g W F 4 i S A y n X j + k 1 R w e w d 1 b A b B w c G h d D F / E y S / A z u 3 X 0 g k s 3 g 2 z 9 9 R x 9 f / H j D k R m Q e p h D h X s A 4 O l D g z I 7 M w 3 e y H M 3 f V l L f C 9 G 7 c M 9 g m D w g l 4 b q e J L s 4 h k x S n + j j i 5 U g k q d u f 3 J E U m 1 P 2 8 J V R 7 e y f 1 V G P w Z p z J 4 a Y S f 4 J q S 1 h 9 e A 2 Z g D 8 9 C 1 B 7 d Y L 6 Z 9 L k w I z c 0 t U H N O 4 5 z k f p w n 9 T f N i y S j N j f T I Q 1 M M t c 1 N z A 1 f k Y q v V R p 8 T K j + A v h z 0 M 1 W y X b M R I A U w K x Z T 2 S G l Y P T X 1 C n n B S R m J L T K N l W V V P C v v / q W f v n l 5 1 J J c c 9 X f 7 o u j p C 6 + h o a G h i S 4 V b 7 W M 1 r b k 6 P S E f e X b a 5 2 j v a x H u 5 H j D D F w 4 W S D + M j g C J D M H w X Y Y g k L z Z o 0 g w L h b P 2 1 x j g G M T Q K g k S 9 K A J 0 x + S g + T y j f k r Q 2 F a e h t p a y m w Q n B B f q K C e X 3 r L V X c p E J 8 E Y n a W Q O H 6 Z Q U 5 K k Q 1 V T X N n Q 0 q b z N 4 O b g w E a T B x i K b G f 9 r N a i J E P d v U M Z I J T B P O M Y J O 8 j k w A h g F h d q 1 x B t h t s g R L C p w z 6 u e x E 0 e p r 1 9 5 z H A t X O K Y g n / 7 5 l 1 + v 5 + O n z y e Q S a g r K x U O q P N K P j 1 g L l S s W j M c k Q Y M g H 4 L j R q h k y Y B 4 b n b p 5 9 M g X S r C 0 L c 4 3 k u / g 5 c Q j H m I y 6 j P M x p E s 7 z / C L D w 5 x R f J K B T O F A g k j h a N h T 2 f j e K u L v J F x G R X 9 5 c E I n W y O 0 M j Q K F V V V s g x F m X Z L D B g l F w e + o Z b 4 3 s j T A C d D 4 S i 6 g i V r y F r L Y f 1 g H F 3 q L h G T c S w H w z t w Q Q / D H Z F J Y b 6 Z 1 B a V i F 9 T M b J k q g 4 Q i c u / D X t 2 9 / N l T 0 i I z D W Q y P b Y J i Z C z X V A A S B j T X H 9 h x G m T x / 8 Y o / f y 6 D 1 A a w y S I R N c b P x + T F f Q K h 1 R B N L r m 5 L O S Q 1 e j c j R 6 u R 3 8 c 1 M K l 6 O u H Q j k V n n / 8 1 / + V d 0 6 J 1 r p q V u + Q U g S a X X H R G B u 9 P b V p b 9 J G Z A J g M 0 w N P 2 N D P U 4 L r P e j D + f I 0 c O 6 Y F H x + X u q E j Q w u 9 b O e h 0 g 7 U 6 1 q t H a Q J g r O M t R l q B q N S K 4 l 5 X k g b c s S V P j 4 6 L O L b M a C L L g P O K i k p K M C Y t w V d e y u o c 8 O D F A N E i 6 o e k Y X R 8 q Y t v O J + P / Z p K t 9 G q a P y / s p k U O p a l J v q 5 M h l 2 Z i p 4 L G M W B v j N I M d i i f / r 6 G y E C f g s 0 g U O H D 7 G U 9 Y u b H d d k f x a c D + j w N c B 5 S N b n k 1 5 5 B g D 6 / P p Y z b a / V 6 V T 5 O W 3 Y u E a O E 8 w k s L j S j / D f I H r q x s P N q 5 5 D s R n J 3 v 4 + a v p 6 6 i Q d 4 e 9 N B f E k J a 0 V H k d o Q C 0 w A A G p 9 6 7 9 1 B G E 9 g L G h M N l 8 K Z l e Z N 0 V r J F b A h T h P c O j 8 d 9 1 F P f Z y a S q M U X F 5 i o 1 2 N L j A t v V 0 t N M A 8 J L N q E f q Q j K c v F + z T 9 d c i R Q u P / i / 9 6 s t L G / a b G c C u u 3 b t O r 1 8 / o q a W G p h S Y D i k m J r D C S A P r C + 3 j 4 m 2 E H y + I s p 4 E 3 R / N w s q 7 D K m w m b 6 V n / F J V U N E o f F P q b D H 5 1 K C K / N 5 u M m l P 8 / c q W g m e y q i j / 1 q X I O w l 1 9 n A 3 x c I r o g q B N A i P x r w U 5 7 r Z V Z s Q N e t N y A T g M x D Q i s 7 M z s i I b o O x B T c N 2 y r C Z r H E k q F 3 x k u T y x 6 p Y D X F 3 A C s T l N l d b r / C p U q u 2 I Z G A c G 7 g U D Z 7 G W n t 1 u M X g 2 4 R U p t D 5 c 5 C 7 v p J V 4 M b V U Q r X S 2 e s A o 8 q n p 6 b p 0 q c X q b m l i c q Z h P f v P x B n B E a K o 4 M a E x / R z / a n u 3 M 0 t l o p 9 9 j V w P Z h 3 E U v p r x s z 3 q p b z x I 0 y t u C i U y O 7 Q x n 3 I h x J K Z n 4 n 9 3 p F W p a b K F F I q n v A y W f N r V H r e O S V K A l g U s t C y n S I R r q h M J p Q N L n k b w B i 3 1 t l j D M 5 5 6 B F L l a 1 E W 1 V S p j 2 s B 9 w L S P T q + V N Z d Q j q X o R t J l Q 0 P 5 M J p L c D E h k t f S 4 X f j b 8 g U J a i f n o a 7 b t j O q V D S x q O T Q 4 R L d u 3 m Z 1 r l F c 4 / A Q g k B Y N w M q 3 j d / + l 5 U Q e D F T B H 5 K z q J F T N a j r h p a t l N V 1 7 5 a Z Q b o S D b i + X V T a y W K g l r 4 G c B C 8 L Z f 4 H h l N U I c o Y Q j e 2 p S J z v D e f z K G z U t D k O X 3 x w h F t Q t R g l C g A q X y i 0 I i r b P m 0 / W Q X z h j A j s Y 2 r d 4 Z b V e j 8 W 4 1 5 J s B G C K 0 G R S L 1 H D g k 3 j 8 M P E U / E w A 1 E Z U M A 2 n R 2 f v D 4 x W 6 N Z T p m n 5 T w N b M B Y z 7 w / d i F H p r W y u N D I / Q 0 y f P 9 F k m g 9 9 H b W 3 N 9 O T R E y a z m z 8 n k 8 h P J n x U w K r f R o h q E x f a B I C y W l t c m T V 0 Z m l r l l d 7 X + C n m 3 k D T g 1 F X N n c p N Y w W F x Y p D u 3 7 t I k E w F j x e B d a 6 t a 2 / + 0 H n A d 5 i R d u 3 p D R h M c Z l v A Y H S d C v d z Y b c j 7 M B v w c B T e O 8 M Q C y M 4 s b S Z W P D w 4 S p F e i 3 w p S I l 8 F W C r v X j r x 4 U 8 B Z g U G p d g w M D J H b 5 Z F B t X i + s O l O f X C S B o e G L T s P j x b S q a O r g 4 Z m M 5 9 z V V F S l l r 7 u H v z s 4 x z l R k c G 0 p K u U T 7 S K V Q J p n 1 w a l B B p v k Q z j P t h P 6 V P r 7 B r i C F d G p D 0 + K q 3 d g X u n o 0 8 u 4 a m N g G v z D h 4 9 l I i A q L V Y W q q q s l M I z n Y + T S 6 9 X o d 4 G 6 9 k 5 c 7 O z L I n W G u k A B q m i Q m M w r K + o U l Q 2 G P k / F 3 D p 2 4 E B v F x t 1 Y E N 6 J t 6 8 O C x r M H x 1 X 9 8 b U 1 1 K Y 9 n T r l Y D K E j m X K O P N k s 5 D H g p 3 A C b n T E 0 4 t F O e u E E 0 P e 2 F B u V 1 x G R G O e j z H O 0 b p h C B H w c G x 9 m 2 d 6 e p q u X 7 9 J 4 U h Y h u a g x 9 + + S C V U k W + f B 4 R U 7 w p 2 2 w U k m R w f k z R G c 6 P / x w 6 o o f 2 9 r z j l o p b 2 d p p h F Q v 2 S Y 7 G / K 2 A j l Y D f O S r a T 9 9 f P E j u n 3 r j q j R B q V l p T K d H 0 t T X 2 Q 7 6 u j x I 6 I G Y r 3 A g 8 X 4 f Q o J / j y Q H T N 0 3 w a Z U o p / G / 6 F W S r I E m T p Q 0 e H d 6 P f b D G a i 1 y 0 y C q P s Z 1 M w H M 2 Z Y H 7 y Q W s N 4 5 B q u f O n R F p J B 2 Q 2 l 0 O j H A l u P z y 3 Z I J w O c j w A 7 C b 6 + 3 L U i J 1 Y c A V G Z M 9 k M / U 2 d 3 j 0 h R q K D 3 s y T K z 0 V d a U I 8 o w C 6 B u C E W X X V U H d 3 l 4 z I N z h 9 + g M h E 6 a / w O U O O x P L R i d T S Z k S U h O + r a / c P I o x z K s g 9 0 M X y c Q l a t Q + d P Z O z r + d z f i + 4 X h C Y Z W c e E z 1 8 m e 2 Z J B a m M S 2 J P m i u z I w E B N r 7 W G F o 9 m 5 O V k N N n s u E g h 2 Z 8 g t X r I n E 1 v v g F g P Y 2 O T Y p / Y 3 d 8 g k c v t E Q 8 f 8 q v 0 p M W r / T 5 R Q R + z 5 I U d s Z W A Q 2 F + 1 U 0 D L N 2 X w 8 p d / W r a I 5 3 N 2 N D A 2 E 2 5 A M k + P D y i + r S S c b r Q v o A 6 v 2 l A Y n / U G Z X R L Y A p W 8 Q g k i G T I V c s / h Z f s g 2 A k s q R c 0 N 7 f Y 2 0 k A A e t p 1 U W G M B h j Q Q Z U 3 l 8 e O n 0 l m L M W z o J 0 E 6 1 8 S + M f c J V q N y t / o + T y Z p t x K 9 q 6 3 W w F Y D z C G q r a s T a W S A / h y M c r D d 6 p Y D w 5 P g w j a I J l x s Y 4 a p u X n j P a r w P O F C B 6 k w 0 3 e Y G 6 4 L b V i r Y n N A I x H j M j v X s d a R o c o Y 5 a 8 B K c V q J W Z j 2 + u G E w P m k O H 3 O j Z 0 N V V J h 6 u d S E j P z 8 1 L 4 S b F A 6 T y I M V A J q h M s J M a s 5 b H w i f 8 1 O d f d 8 S B 3 5 v i Q u Y v f U c A U W S 8 n w 1 Y 4 j g b + B 3 b g b m Q W x w R r w N m Q j 9 6 8 F i I h 7 l l M z M z d P E t P H z o E E Z H r 4 F V x o i l / F U l w B / + Z x Y g s V S 9 c G p Y v y l y A D D z F D N G A T x s O 6 l G x y a Y U B h J o I 7 9 X p d M A V 8 P v a z S f M 0 q 3 n p e M k i m 6 H t Q K 5 6 O Z 5 I Z A 0 p H B g d k N I T B u / 8 V u T G w U i d T Q j B 9 P h u Y q / X 4 0 R N 6 c O + h O C Y w 2 h + d w W j Y h o d H q c i P K S v 6 4 j c E t g l a C m X e r S I R / p F v y K T S t u J 3 L B x N q P O H u s W t b C c T Y u j 4 + / f 3 S N r Y T l j w P x c W u M B g K 2 E Y 0 E Z 4 l 5 L J j t G s D t H m 1 j Z q a e 9 g g 1 8 N M 0 L F x e K T 7 w I + 9 + t r Z G H L W X r 2 9 D l h U q E d z 5 + 9 p A b W F I 4 c O y z L p R 0 4 u F 8 I h v G G 5 s k d a 9 r c Y N a r / X 4 q y X J M q H L W n 2 g r E h B N n B M z z m Y V E w q / 2 p k h w N p Q X X 3 m V H Y A C 6 4 8 Y X s J a z t 8 3 K 6 m G 2 R P V 8 c m e j c H f X R j 4 P U q T N Z 6 l e 8 U r m S M J q f n 9 Z H C w t w s h U O r F O I A N b a 2 / t 1 M X 3 i T + 5 w J e m k 1 k q K V V T W I F R 5 A A J I L K + 4 O z A d k 2 g w m I 3 7 + x a e y R m A 7 p 9 E Q 1 J V u z n s C x 4 Q a e a 4 z s i D Z f F J J K z m g o M w Q S d c R p w X H S q j S o g I a G x m 1 y G Q n 1 d j o G L e Q + 2 Q d h N s 3 b l J p Q Z L K C 1 V h 4 q o f X v n p 2 x c B 8 W S 9 C d 7 n D p Z J l 4 8 e z 1 T J F A 0 D u N K r a m q p S I + W 6 J u W a M u R a z G a b M S T L r p 4 4 Q y 9 f P 5 U j j E M 6 5 v n A e o 8 e E L m Q n X X x O m 2 3 t n R A C P E s x u 9 N 4 U Z w n S 4 I U 5 Z 5 i V D / 1 6 J + I X / 8 T 2 x + N t 9 1 / u A Y 5 0 S x 7 t a q K x c L Z N s J x X 2 s M W a C G j J A w E / q y B H q N o z I y v F Y n Q z 7 K T 1 B o A a Y L 7 S d i J O f k p 5 i 6 j 3 5 X O Z p n H o K K b c p z G 0 s H 1 9 L n j S g Q I / D Y 2 l p S i 0 v 4 e T Z f S Y V U H g w z a z d k Z c x k E O D Y 1 I / 9 7 b A I 6 a h r K E d F 8 0 s E 1 l Y C i T L k m k V B g e w 5 7 B q p 4 4 L T h W Q s F J g I 7 E 7 J Y P w 4 / s / T h Q Q 3 o f X e N K G K C 7 w 7 l d 4 Z i 4 Z g c G w G 4 3 X k z 5 q H v f A d W p i 5 K w o S C m R l F s B / C 4 x 8 a m q a Y 1 P b 4 R c H u 8 F C z 9 U B o 0 A H Y s Z g e j a + K j j 8 5 a 0 / A 3 C 9 w 5 J l 4 C U 0 t 2 r 5 + 9 3 F F b d Z L h 5 M 3 b + O f j l z o r B L h w M D D U L p m w H h 5 i N e 4 s j V c v + 6 j 1 + K + 5 T u K 9 m S h j g / d M e 4 w u 9 T h v T g 2 k q c S 2 t e y A 8 S U 3 h X 3 N + u j 9 A w v C Y L J l 0 L d 2 9 5 B A c S X 9 6 X k B L a 4 m 6 f H D x z Q 2 P k m D g 8 P S w E G K Y U + o z Q L c g J 1 W 4 G P t g 4 / r L O 1 B d T h n Q t U P V S 0 y 6 4 x T w v Y 3 1 T n Q 0 V A j f U k g k C F V f / 8 A 9 f b 2 r 5 F a y 8 t L F B p P 7 + P q 4 f t q r 4 r L z N D z n V G q L E q + s S 3 1 P o F b w N q S Z p Y r g M r 1 c N T H D c F 2 q q Q u O n T i L E u k 9 S X O T 7 1 e W v K 2 0 c m T x + j 8 + b N 0 m Y k E O + t t P K W m H c S I C a x 1 H u Z n U s 7 3 n / 6 k t Z + J 0 p + d 3 3 y / 1 / u A I 2 2 o x i o s s F h g E Q e D R b H 2 t n 0 a t s H + A / t l z f K O 6 o R M I f j F w Q g d q M / 0 M m S P r n Y K n k 9 5 r W n 4 q I w / 9 q o W H n Y F F o r Z D k D S 7 2 s r p 6 b y 9 T 0 1 H q + P V j 1 1 c i 0 8 f u n m b f P A 9 H k A j V 5 N c U r s 3 x U s a K P + M 4 C 6 Y T A z F 7 H q i 5 O C I y U U d m Y 3 4 8 l A J s z X w d r d 9 p 3 Y D b A M F j o i 9 9 d h i x S d m S e A h 2 t w T h n z l 1 / 6 L S 8 c j H Q U z i e b 2 M R g K 4 G + v a N N c S r 2 r 0 8 V t H U Y p Y / f / b Z 9 e H A O G Q c S V M Y i l l L o I E 5 g 8 X P 1 z y H z N 5 i B 8 l n d Z I 4 B V 0 H 8 Q u c E D I b E y P L b t + 6 K h L p x / b b s p 4 R d N A C 7 u m e A A a b Y o C z X o M 4 n W z y V f a s x H q 4 S z 6 T 9 t j p Z 2 g K w K 7 Y D / b O q Z b r w m u F E G K X / t q N L o J p j 7 y g 7 z H 5 S u G u 3 d E K b + 1 e x P C M O E i E W d j k r O K 5 N L w z 4 h D S d X e 1 0 4 8 Y t + v j C O S a Z i w m V e x 8 i 4 N i x I 0 K m K 1 d + p P 6 B Q W s K A m y S k Q X n i y 1 U E D t G b b 9 5 O 6 T U y y m f Z X c a l W y r g a Y v u 2 3 E c X 1 p k k 4 0 x + l A X W z t g z G Q / B S r y + + x A / E N 4 b g J h t 2 N t T Q 1 O c 3 q X S W d P X t a B m D C G V F b t / 5 e T C B c H Z / H Y i J Q A T H q H H i f U z O 2 E l h U 3 w C q 3 3 Y A o 0 y g 0 p 1 t j 7 w T V T q b T A C W X s N S B v V l S b b h 0 t p G L l 7 h / b 0 D i x l 1 x w n B c V P g v c k Q l Z Y V Z z x x z G + y 9 z 2 t B 5 B v f G y C P v v s k r x 9 7 G c s A 7 a d M C s Z r b J x / m P f 9 n X y / r / b K / T T D 9 9 T u / s p V R e s y q b U W w X Y S t n A 3 r t Q + 2 B X Y Z Y y 7 C d R 8 X G p X J 7 5 n l h c L R v n p O A 4 f a i 8 o k K G 4 M g z 1 K S C e x b O i d c B y 4 E d P X p Y 0 r 2 2 T Q D y D X B O Y B z d n 3 v 9 F N D z s 7 b D 4 V J c W k X 7 T 1 2 i F y 9 f 0 k L v D 1 R X l B 4 u 9 X O B y Y X Z 9 4 Q B z F D T 0 c q / n O L y s / g j 1 N J p B R z Z 2 l z H g G 8 p m 2 P b F 6 C 6 y Z j i L D 0 H L n O s V p r L I W G A c 3 Y v Y N 9 r R p f n C 7 D G H W C 8 W m Z 0 P d a 4 M 8 h 8 W p v D F / s j 9 N m + C J 1 q i a 3 p / 5 L y 8 P j p L / 7 i S / r s 8 0 / p d E + h t W X P z w H 6 B k G m m u J k z g m d P / X 5 2 I 6 C N O R z p s x 1 E u U s O S b t M M e E o y R U k c x v S s k Y P b N Y i C E R N m L e C B j t b G a a v u 1 i I f k A M + r G r H E H 6 C w L 2 U O t N g I 8 d S B n b W m S z n f G 6 G B 9 J m G e j H v l u W L V W A D 7 Y L 0 t Y t E I L c 1 P 0 d F G p T q e Y B K f 5 J A N z B 6 G d B Y C 8 b G q A y Y g 0 m n + j + q d F 5 0 C R z k l i r S H 7 8 H 9 h x k u 8 G A w K E t Z g T T Z w A B N A L N 1 D Z 7 m q T N i q 2 A W k n w T g K B w Q B j A K Z D t C F l 5 y / X d s x G a G 6 T E 0 N c U X J q l y 9 9 d o a H p a O 4 F O 4 V J h j S I J W W S V h q y K h R i Q t r q 0 H Y H R z k l 8 K R G h k d l E f r b t + 5 Z B M J e t Z 1 H z s l O 5 y A a O n J / v H K V X r x 4 t c Z Z g R Z 1 D 5 s D X O Q Y P m S k H 0 Z p 1 N p G 5 D / L W k l X y u o t 8 L c X W + j i p Y 9 l s u K 5 j 8 7 S w z 7 s w a t P a o g a Z / 5 M W t i D C 7 P T W G s x t q Y e b W d g O Z 4 r e 3 u C m 5 I y t R o j l 0 + f O U U 3 b t y m y 5 d / E P U v 4 q 6 Q h S m / + f o 7 W c G 0 r a N V O n z t 9 h Z a 5 v V W a N 3 D x o C a h b X / D L A d j x n + N M e E s y 8 d 4 M 1 h 9 7 w O G B r m 9 3 l k P Q q s n F T I 6 r 2 / P M c + W c w S R Z r 0 c T p P p z W x E L D 9 a q 6 6 t F 3 B U T Z U R Y F b d j c H I H m w y O K n n 1 7 i g v B J i 4 k B s 1 / + + h e y d s T y 8 s o a 5 8 X l F x t t 6 7 K H 1 w F j C O 1 r n + P x H m 9 W N g 4 W t z H n z n a 8 + V R 3 j A n 8 8 l B E h o Y B a A y 7 u j v E y Z K 9 F r q Q B E z i u M h v 1 m D k Q 3 V W Y k m r D E a K V l a c N Z P A k T Y U A r C 4 G B T S Y H X V 7 E m B 2 X s d Y e q A U V n 2 8 P Z 4 N K b W A z T P s q E s S W f a 1 f p 5 O H d / x E t F v i R 5 N 1 i f A p v Y B W f 7 J Q 0 n B 4 o X Q L l i 6 Q J 4 b e H j g B M k E 6 r s 8 c n R u K k H 2 I 0 f 5 F L v z w x Q + Z h Q W f V o O 4 O j J F S B b X l k Q U G 1 r H A K F T C 7 z 0 I t g K g A j 9 D 7 W m R l J w O r E K F z F W S y T 8 K s L E r R x 1 1 R 2 R Q A S 3 / 9 4 e o I L T 7 + P / r s W h x s 4 M 9 y D d I H j Q s U j Y T o y Z N n d P m 7 H + j b b y 5 T Y 1 O D Z f f C Z d 5 W a f M a C n 8 U W a T / j e N C J l M 4 q s g k D F I X y T H m b m F n e y f B j Z 4 f p / z J X B I N P L D 9 b R X U X Z u g s b G 1 M 1 j d u k N m l g s e I w r 2 8 P M B s s B 9 D m B V 2 W w c a Y o L q d z l X V R 4 4 D c 6 d y 3 g K T x 5 6 g R N j v T R 8 2 f P Z Q l s b J O D 9 d G 7 u j r 1 V Q p m e Q j 0 g X 1 + I M I S L U b N Z X F L 5 f M z o Z S E M i R S g V + E W 0 j b 6 9 B 2 / z l K Q s V 1 3 x M A R 0 R Z W Q k t h 2 n N P C g 8 R N P n d H u d a e 9 7 e D t g w z Q A u w z C I 2 1 H o S 9 F p 9 t j b B O p 3 e f X A 7 o t 4 H g 4 c v S I b I v T w L Y w 7 F / 0 L 9 q B F Y / M 8 D B s 6 o 0 N G / B e D G i e W E Q j m Z L y V 3 1 u T C R L M u m 0 P n Y S H G V D I T I w E + + w f 6 6 3 p F H S F l i S Y Y P l B 6 N 7 Z H q X u P I q 9 y Y K V 3 o 3 d v 5 k T 8 t Y D 0 b L A C m i M g c K F F H H h i z o t 8 U a E h 5 X k n x u l p 4 g E M 4 j J J X k y q 5 H 2 x k c J a G w Y b I B H t T v f / d H G r r 3 R / L E 0 q u q A v j t e P D Y E H o P 7 w Z m S F A u z + n p t u i G 0 z o w F t F I u o 0 w q O d d l R U k q K s 6 T k 3 l M T q p h x y l m E R p Y i X Z R i Z x j j S W x d i m U 5 v r 4 Y 8 v l M 9 w C v i O s i i 2 j c G o c c D i 0 h I d P 3 G M O k 7 9 l W y U h k 2 T 7 R g Z z y T Z H r Y W Z h k B 9 O 1 B C N g B j 9 + n + 1 R 5 r L c O + + t G q 6 C z G G 5 6 A I 6 J z m o 1 7 O n + S H o z c g l a C o F U o / M u U T t n V 1 x U H m B S a d L l q k v b F R w 1 U g J r m R t M T 8 6 I H Y V p 0 e 3 t r X T 3 7 j 3 9 8 I j C X B C r F e c k v Y d 3 A 7 N / F J C 9 f L Q B y I Q J g R t N l V 8 P s J k M i g O K N O F Y S t Q 7 k I d f d a y 0 F X 6 h k X m 3 u N O L / Q n q q Y 1 R M q k W 2 M y u R 9 s Z n K U z 2 b x 8 2 D 0 P f V B m s C Y m G 9 6 + f V f S 2 C Q t u 1 N 3 D + 8 G m L e E 4 V x G m t i B 2 c T 7 6 u L W l j T 7 b Q N r Y X t h e T A z 8 9 d O I A D z n Q C 3 K 0 W l 3 G h i H p T f Y 6 Q R v 9 k m m c 6 0 o / M 2 R Q X e J N W W Q D 2 M S X 5 H J X 8 f r n U Q H O W U W F 7 F S j Y u C f X 1 9 T L g t b p Y 6 c h Q B 9 v b 2 0 R q Y Q v / P b w f m A 5 c 7 C U F k t g B 9 Q Y j 2 7 9 7 q e y s 3 u l M N Q / L O G P g L d S 7 K 7 1 + a / U p 2 E N Y M B O E g U Q a Y F s K x B I i g U Q 4 x 3 8 g D o 5 v D f i o s T R G C 6 s p m g 9 C M m I R n x R V F C W p p I S / O 6 s e b W d w V M 0 M 2 Y Z J + / x + 2 e P J D o w D u 3 P n 3 p Z s 3 L y H N 8 O S 3 m x 7 f N F N D 0 Z z 2 0 V G S K y 3 E t G Q 3 n A A D W H / j I e + e w 7 3 O d 4 E E h E N z 7 l F 3 R v i e H 9 d V I g F U m E L I g y G j v M H Q 9 1 D / o t J t z i v s C 0 p j s s w u 9 t B c F T H 7 m I w b K l y k E j Y o j I b x 0 8 c 5 3 J w l m d n t 2 B q 2 W N t E m 7 A 9 X 5 T e G m T Y k Y i t b D q B o k z s w y X O 1 a G V W Q x p E m n V b g 5 6 B X C g W z F R X 5 b D d r + P 0 d J q H g M R q Z K e z 0 u W g 1 l e v a A B A X I 5 9 2 T U N u F l 6 z 6 2 U e l x 9 9 i y J f F Q e F T i q q L 4 m x j Y b i T i 6 W P I p m Q h 0 m j C K V c j U h X 8 b U g k g k F B R t 7 E 9 8 3 H G V D L U X i s r 2 k s a O m W W E 2 E s s A W u H e u L 3 t B f q Z s K k 2 1 m e H R H k b M D e g 8 A l Z f u z 1 U Y w L F u l p l l K Q R p Z E Y t K I h E L M Y S n E 7 2 O i Y Y 0 R 5 J V X l u W s S 9 s V H G f d 2 3 d x M N P g 7 c C Y L 9 3 B v o d t B D b V x m 4 n T y d 8 9 M X + q K w l / z n H 9 v Y v c 0 A z 5 F J W 0 N J H S S F b Y K J A l 1 T n D K k U y c J R n E 9 Q m A k 1 v w q b x V m V g W 9 Z U 8 s h o a i o 0 J J K p c U F G Y s + m v z t 2 t R 5 D 5 n A a A p s y G A m H O L 4 U n e U T r V G q a c 2 Q V 8 c i N C F r q j M i c I 0 E O a K L d h s J E 2 Y d N D n b K S q K E R H r k 4 X J c Q x M T j L m o w M B s i s Q 9 s Z H N W x i + D x K J 0 Y 5 J k a G 6 a V u d E 1 O w x i m 5 o 9 b D + g e m P q D I J Z G A f L R 9 e W p K i r R s 2 D K g 6 k 6 F B D X N a l U G v x q Q D S 8 I s m j Q r G l W 5 I Z S f X 7 A o f M 6 G g 5 s 0 u p 2 h + K U I F H u e t y + f 6 8 5 N e R 9 X O M 1 2 1 t L S 0 T C U l x d Q 3 N E X V 5 Q E K h c N U Y 1 v b H D q 8 3 T D e g / M A a Y V R F J B O m F 6 P T c V f T X u o N J C k Y D h F C 6 E U H a i N 0 s N R F 5 X 4 4 l T g j d P o P P G 5 B E V C K / R x T 4 p + 6 n X L I j y J e I x D n N N R S s S i F O M Q j 4 a o p T x K x y 9 c 1 N / o D D j O h r o p G 8 y q t f m 8 p L a x w Y 7 k L 1 4 N q A s Y G M + 1 B 2 c D 0 g v r e 9 w Y V B 2 6 m E K P u W u v p t 2 s x r u o t S J O N w c 8 F I y k a H w R n c J u W o 2 w j R Q K U l n 0 F V 3 t 8 1 q O C C W Z l M q n V E H V b d J z 6 r T E T o L j b C i E W C w u K x 6 Z p c H q 6 + s o G M 8 c 9 V x Z m B 7 m s g e n Q z W A c V b p l F q X p M d j b i F H R 1 W M m s v j i j i s f R x r 8 9 K C r y d N J r 5 G 0 l D 9 d B 7 I 5 U r F Z Q + x X P V n O 4 P j J B S A B f 9 f P H 8 p o 8 z T D g p F L n M c W H 6 w p W t t 7 + H d g b k g h B B 7 S Q i h Y h z 3 s W S a X D K d u U l 6 O o 5 F N T H i X E k j R S Z F I o t c H O K J t S s M O w G O c 0 o g o A C w 2 w a e V 1 + / U v V 8 y W X 6 / e + + o h v X b 8 r 6 B H W 1 N e T 1 7 d l R j g c K U 5 w Q i h h C r I w 4 S Z G Y z a s n h E M 6 H Q q 9 C e q p 4 c Z T 1 L 4 4 B T w s n Q q 8 O e v O d g d H d e y a M L M S o V C I j c 6 W Z l p Z X u F M j K K I 0 p H T F + j s u T P 0 2 e e f y H J j M H o B v G 0 P T g Q T B K 9 G I h k S c d q S P n z O k A l S y C 6 J V E j Q g b o o l f r j b H d F x F 3 e X B 6 l z q 6 m N f X G C c G R N t T Y Y o T K y 8 u l A B q Z O I h 9 L I 0 m x 9 W O 6 U b U 1 5 c p f 7 r S 0 P f g N H C x K X K A M H x g S C L E 0 r E i E w K T y X a d I d 6 R B p Z M q Q Q l + P z w n E s I B u d F V z d 2 q V 9 b d 7 Y 7 O N K G A r C o B x 6 s U v 1 c r B Z E q b W 5 V u w q A y x v t R H Q 4 V i 6 1 2 e 1 L R D S 2 I g j B D G E 0 b E i k s o 3 x B I J J T H y E + J O B 5 k g m a L o k M S a f 0 w o + + x u J 8 G x h M I D i 8 U w K 5 M N 0 D g / x J U g v X h 8 n / o G R v Q V a r t K t A v r o c i X k n 2 I 9 v D + Y Q i D d f P S B N E E 0 k E R S 5 8 z a i H H W D c C U q m 1 I i b D z 9 B t g p H o C S Z U W S B G 7 k C Z / h b n Q Y Z C O T G 8 m g 2 L N E L L h D 1 z 2 z o 6 6 Z P P L l F Z S Y G s i G T U v s Y N t v 8 / p 5 c M 3 h v 7 9 3 4 h x N B k s Q g E y W T L T 0 s k E y u V r 6 c m Q i 1 M p O a y K F U W M q H 4 H E j l 9 y C d Y L s 5 R q f P n 1 h T X 5 w S H C u h 0 G c B 0 u B h L k f c t D A / h 2 a P g 9 q p 0 K B 8 H b U P y 1 P g B g H 7 1 O w 9 v F v Y y W K R y h y L 4 y G T R F b M 1 9 Q U x a R / M c l l X u J a I B d s J 0 4 j e E n l R 2 J J K i z c e B m z 7 Y Q j n R I m L L O u / P 3 l H y g S X K T O j j a a m p q m 6 p q q D P 1 5 f J 3 l q u x L / J p p 9 H t 4 t x A y g S x Q 8 0 x a C I M 8 B E W c N I l A M J W H a 5 p Y 1 Q M Z o Z X 4 / A E h E t Q 9 x P D y d l R G y F 3 a x N + U u 7 4 4 I T h W Q g H z c S / 1 7 O u m 5 Y V Z e c j Y 6 R 3 L i b n 1 2 t i w o B Z C u J E 0 z n Z E 6 W J 3 l D p r 0 l J p M e u a P W w 1 b A T K s J m M A 0 I f a z t J p R E r U v E B n W 4 N s 1 o H A n H g f H w m y h z 2 c z y h V j f y u + N 0 7 I P j 6 i s d C k f 2 Q 9 l D W V k Z d f d 0 y U N G D 3 u U C V V b U 0 0 R 5 g t 2 i c g G V t f B q G Y P 3 q / x O m / g H t 4 W e K 4 g k 7 G P s s g k x E m r e a o M 0 x I J 1 8 J d f r Y t b F P v k m I j I z b q H p w R 2 A c K a R c M Y l v 9 c F p w 5 E g J e 1 h I + G V M H + w m F E Z Z e S n n A j j L r 8 Z Q 0 p j V y 1 b Z Y V Z B 3 c M W A 8 I l J 5 k M W R S J 5 N g m p e y k g l v c E A 3 H I I 0 i F J O I J Z M c x + D t i 1 P X y f N r 6 o f T g q N t K I R Q w i U 7 w G P i I V o p v 9 9 P E x M T N L W M 8 2 s x k W N R R r u 0 2 s P P h Z J I J i i S G P I o 4 k h a S M T E 0 f l p E i F P k Q r 5 x x r V 6 A d D J n j y M C f O k A k q H + y o G F z m 1 X X 8 / Z n 1 w 2 n B 0 T a U g Z c N V C 4 7 G h 0 d k w c 8 P T 3 L o h U F p i S P X U p x W a 3 Z 3 i Z L i O 1 h s 7 A R S D 9 y S d u 9 e Y Y w F p m E R L Z r 5 F i d M 2 Q 6 2 R w W 0 u B Y y A T i R G N S x k b N w 4 4 s k E 6 B w q y 9 w x y K v C D U X K p I H n p t b T V L q 3 k q L S 2 h + h I Y q v D e 6 R K 2 4 d b Q 3 q 4 c W 4 n s J 2 y I I 0 E I g p j J p g l j y A P 7 y C K S H H P M B P G 6 E 3 S u P S x O B u Q b M o E 4 6 W M l n a K R C E u n O B 2 5 8 K X + d m f D 8 U 4 J E 5 Z C 0 K O T 9 O J F L y 0 u L s k D x + Z c p s W 0 S 6 m 9 V Z H e F S C h F D G E S D Y y Z Z B G Y i W F V F D E c l G C z r R F 6 M O W s J w 3 n b b G A Q G J h O u h 7 i k p B Y K l q L i 8 e k 1 9 c G p w m w X 6 n P 4 X 9 J T K Q 8 b m a 5 2 d 7 R Q K h a m x N G o V r h 3 Z m y F v B m r d g z 0 o K D X P x J b H T h N I n j 2 O L U m k C G E n E 9 I u L p + P O 0 M i l d w u J X 0 M i S w y M Y k G p q K a S A m R S h h 6 h v j Q u U 9 s N c H Z f 3 m h 8 h l g 5 / f K y g o p g L m 5 e S m M x j K 1 P h s K 0 0 i p X F u E b u S Y M J 5 Y Y L d v L y r E s Q V + 0 e k 0 c R R h 7 K R J n 8 v M T 5 D P k 6 D z H S E 5 V g R S 5 0 W 9 k 2 P V z w Q S N Z a n x G Y C i d Q a E v x + v 5 m V m x / I K 0 K F i + t p e H h E p s i D W E v L S 7 S v J i o F o w q a 1 Q o m F d r U 7 N 0 i A h u s Q w F H x v p n d x + y S W U 6 Z J G 2 y C L 5 i M 0 x x x w U q Z L c g C V o X 2 1 U 1 D t F I E 0 m D u J o 4 D z E p n / J u M o V k e K y k C W I d e q L v 9 a / K j + Q N z a U C a V 1 z R T h h 6 8 M V h X b W 0 U E 4 I e s V Z G w v N U e X g f b M 9 J k s n v l R A p Z r n D O 0 2 Q y I a 3 q J e j D 1 j B V F 6 n Z A o Z M R r 0 T y Q Q i a T K Z M k S M x h J L c k e j M a p u b M l Z B 5 w c H N + x u y Y U V 0 q 5 4 + F D w 3 s 0 E O Q C M q T C Y h 8 o d L S Y G G C L d y h g 1 7 0 9 b A w 8 M 3 n R Z B I J h C D P 0 x D H Z j 8 x G d Q 1 i i S G T J w h 0 s d O J p V m V Y 5 j k U x I 6 x h l C b K F w x E O I b G d 8 F P 2 f / B R 7 j r g 4 O D 4 j t 1 c Y d l d I o X g 9 X o p E B t X B S K F o g t P C j B B 3 z 5 P u 8 / r S t a f 5 r F b k U E a H U T q m I B j K 6 T J k y a X y k d s 8 n C N m x L k o U w y i W r H s Z S T L i t V b q z u a U 1 D f g 8 z C Y Q 6 + e m v + R f m L n 8 n h 7 y y o S x 4 / R T n B 4 9 C a m x q o O Z S 6 O k g k p F U q h A R / u O J n 6 7 3 q 4 2 / 9 p A G K i 9 q r / x x D A K J J O J n Z i e O x D r P P F N D L k U 6 n W a C i K T i c K Z N d d h K 4 H O K T B y Y N M p m Q p 4 i F e w k f L / x 6 s 0 H u a H 0 B 6 i 4 j D W R P E R + E o o R C l R L o U y M T 1 J b J R u 0 c d b X U Y C 6 o I R c E i d o f h W t x x 4 U F I E k x i t I p Y l k J 0 w 6 n Q 6 w n 9 L n 1 L N F G m S R m I 8 x R d 0 i E 2 w m L g 9 c C 0 l k H B B G M o F A S M N u Q n p x N U 4 B V 5 T O / v r v 5 J f m I / L O K W E P Q V 8 F l Z e X 0 d j Y B B c U C h K F B y I p M q l j F D x s K 1 S I 3 T s v K k 0 c W 4 x n I u S w B 0 M Y e 1 r H T B A V 4 1 h L J E 4 b y Y R z d a U g i S E U l w n n g T R G I k m a 8 0 0 e H B B x b g z F b k r E 6 N D Z i z n L O l 9 C 3 n T s 5 v r z + A t k v 6 j C o g K q D E R E S h k J J W Q y s V Q K d a w q g i a X t N Q 7 H I Z I m k S i 2 p k 4 O + D Z S K z T t l g I o 8 9 Z B E P g P H W s Q l 0 x P H u G U E p C Z U g m x E K i u H h r Q S S M J l 9 i V Q / b e 9 Y 2 d 9 h K O P / + 8 l b l M 0 i W N 5 H P 6 6 X u a u j t K D C Q C u o f 0 p p E k l a F a k h l K o O q T M q e 4 B c d 8 h n p + 8 C 9 q U V S k D Z k 0 g S w P w e T h 1 i k k M n n 2 B D G 9 u z k M 8 z 7 O Q Z x 1 H m 2 f 1 w 2 A v G x R S I d G z U P / U 5 4 T 4 z L a n Y J a 0 a w 7 f X l f 5 I 7 y G f k P a G A R E U r F 5 Y i k 1 L 3 1 P w Z Q y r R 8 V H g i C W o i q X U H l X Z p A r y i / A q n 6 H v Q a l 4 C K r B k P u V d D r Y y S Q k k T y b R E I s z 8 1 c b 3 + G H P Q z t a t 8 0 n B x W k h l I x P I B f I g D Z s p F G X b N g g P X 4 w K P R G 6 + D f / o G 8 g v + G 6 0 T u S 7 1 V I s L o a p U d P Z 8 n l 9 p D b 4 y W 3 m 4 O H 0 3 y M T b k Q Y y 0 K p F 0 u H K s Y I y v S A b 0 I K u 1 k g C C Z A I N M S h F J Z e F F H Z s g x 3 I N S G L L E 8 K o N I g l s S a S X A d y I W 2 R S w V D P h P D w y c j I W x S S j k k l L S C N + / h c I r V v R j 5 C X s 8 R e g X f / O X V F q p t i v K d 6 A G c Z T / o a g o Q C V F H i W V Y E t p 1 S 9 b 7 V N p V d g i z e y t q 5 V W F c R e 4 Z w A 6 / c I I R Q J 7 M S w K j w q d 8 b k P p P P 9 y Z k 0 P e n g 1 z D a p t K p 8 l h E Q f P C u + V 2 B z r W D 9 D P O f a Y v Q n Z U o m O 5 k G Z p J 0 d 0 C R K c 6 q X z I R p Y 6 2 W i Z T D d 9 T 7 n L N t + C 6 2 T v q j N q y R b h + c 4 g S K Z Z A k E 4 i q Z S U w r G R V B k S C m 4 Z S 1 J l S i x + k c / k I 0 n L k c p i W A l B + l x m / p Y A h F E J / W + P O e C M X K P z J Y + P k I e 0 j q 1 j O c c E M n m i 9 t q O N T H N I p X p 4 6 w Y h O I 0 Y l x z o D Z C h V j p F W T S D R g c E G F W 7 x 4 M Y 6 F K 1 d C B T I l 4 h H r q X f T F b / 6 7 / P 6 d g h 1 H K O D q 9 Q F C f 7 1 R + 6 A G Y l p 1 W v 0 z Z F I E y l T / 0 m q f I R U o s o Z g K q F h 5 d j y 1 k P 2 B a j w O p k D 6 p S 6 h q u 3 L Z Z X i S V H i K C u R V q d N / n 6 O C s w K 2 z H O m 2 I p E l j 8 n A s U s l K p y W Z k V Y f t I R F y l v q H k u l l X C C n n A V Q x q 2 L Z Y D S 8 S j V F 1 M 9 J / / k c m k n + l O g e t m 3 8 4 j F P D j 1 T 6 u T k Y 6 a T I x u T w W q S C p m A g 2 c p l l d N d I K h B G z k l K X Y M v k X M 6 z 8 C W f G O g b u M l F 1 C h d a y i X D E I w D E H y U U s a Z 1 n C + l j T R Z 7 W s i i j h V x T J 6 d S I p E i k y c B w J x a C q N U W 0 J y J K g u Z U k v Z w k J p B y R q j u D B O w y b W b / v n f / h t + 6 Y 4 D E 2 p M y m C n A Z X h z z + + Y i t R S S i 7 k y J b U u V W / z R x c I w P N H m g j 8 T I 0 u z B O Z W S t E T y a p B 5 p J B + 7 F a K f 7 M B V 2 X r B O 5 F p / Q l i F W e x B z M 9 S p f n b f O 6 f P p P E M c D k I U l Y b 6 x g m L P O a c I g 4 T K H v R F R 2 3 V 0 a p v A B k S d D 9 Y Z e o e O j 3 E 1 t K 2 7 F i M 7 G a x 4 + a / u X f f 5 t + d j s M O 5 Z Q Q D y e p J + u v u S 7 B I E y C W X Z V E I k Q y h F J u Q J S a y g 8 s E L o Q 7 y 1 A E D 5 1 U s k G y d 3 h R Q q X U S z M C r R C a t T 3 K s s h F z C v 9 y T p F C n Q I R 9 D U 6 j d h c I z Y T / k A U 6 x p 1 L P a R T i N f k Q u k y k 0 m 5 a B Q K p 4 c g 0 R Z Z D K S y c M N 1 j / 9 y z + Q 3 7 9 z x 1 W 6 b u 1 g Q h l 8 9 / 1 T v l N D J C 8 T R x F K J B W T R S S U R S p F K E U g k E W l 5 V j I k y a Q y k O S 0 z o 2 0 D l I v B 6 o 8 H g x 4 A o s k X k 1 5 y U D B D C x J C R W a R 3 r Y / z J v y F J R k h L I 4 l 1 n i E S S G c 5 H 5 A H s v C x l b Y 6 g E E m e P r 4 G H Y S k 0 m 8 e + g T 5 B j D i p I c P B 4 m 0 / / 4 e w o U O H d d 8 q 3 A r i A U 8 N 3 3 T 7 h u g T C a S J b E U k R S 5 G I a G C m l 8 0 E S R S J Q h N l h p R k c g z E S y T n 5 t 9 I G + u q c U A 9 f F 4 F V E l y 5 V W R L q 5 M g g + S Z c 3 K I a z i B O D v N w Z 5 W A a S x x Z a X T x N G 8 j i N P M R M G i G Y x O o Y d p P Y T 5 B M E i C Z + D i b T I k o + X 0 + + p d / 2 1 n e v P X g u t W / O w g F f P P t Q 6 5 q h l A q X l d S g T S a X C r Y y K U J g 7 T Q R f i i S K P y D M y 5 1 4 P r M F 4 l D a B S W 0 A F V w n 9 D w K k 0 3 J e r l e x e a 8 i i Y q R U O c 0 Y R B s R M K x I h M H T S o l g d R x B p m Y Q E h D t R N J J R I K Z F I j I W S k C t Q 8 z i 8 I + H e s A y I X m F D j 6 u n v E l y 7 9 p y W V y K a U F D / l H R S J E s T S k k o E M J O K m a H z l O c 0 n k A 8 l W m O r S l b Y l 1 o I v A i u z H + g g E 0 L H k m X N y i H N I 8 0 F 2 O i M o o l h p i 1 A c C 4 l A G H W c J h C u 4 x h T N 2 x q X t p 2 A o E Q g 0 R I K 5 s J m 0 v X N 9 T R b / 5 r f q 0 J 8 X O x 6 w g F 3 L / X S 5 N T S 0 R Q + z S R x A u o C a U k F l N i D a l U z C / 6 G E R B j E 9 N x + p f D j R U 3 o b g S m w g K f u x p D n I v z 2 W V x V L W u f Z Q v p Y E 8 d + r M l j J 5 K V F u K o a x S J O N Y k M o R K k y m t 5 o F M R E k 6 c L C H v v j V J f y 6 X Q X X 7 V 1 I K G B h Y Y W u s r R i 1 q Q d F R a Z F L E Q Z 0 g q N 1 i h i G Q R C r E Q R l 4 l V p G K F c w 5 O c g J r s s a O g E u W G m d 0 h e h 4 s t Z c w 3 O W 3 k 6 r e P M Y E j D Q Q i k j 0 E W i 2 C G U D Y i W e Q C e T S h I I 1 w r F U 7 C f G o j P z / u / / y V 1 R X j + F E u w + u 2 w O 7 k 1 A A K s n X X 9 / h y s A P Q i S V U v 3 s 6 l / a r Q 4 C m Z i Z Y U 8 z V F 4 W q X C k M u Q Y S K f S y C w A k M G k T B o k s H I 4 w r G 6 S G I c y z U 6 b Q t y j D 8 Q Q v L S s Z A E a Y l t R M I 1 I A 7 y h E A 4 x z E k k i G V J p F I J Z Z O I F t R c R H 9 0 z / / P X n Y L t 2 d I P r / i c 1 h d L d O 9 F c 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 G u i d = " 8 f f 2 4 3 9 5 - 7 d 1 b - 4 f 3 7 - 9 4 6 6 - b 6 9 c 9 5 d 7 8 e 2 d "   R e v = " 1 "   R e v G u i d = " 2 4 0 6 7 e b 1 - 0 5 1 9 - 4 d 5 a - 8 9 7 e - 7 8 e 9 7 f 3 f 2 4 3 d " 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24F85349-A65D-4098-BDF0-71F4FAAD4AE0}">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B0559E85-49AF-4287-A618-A5D4B269F68E}">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Reference</vt:lpstr>
      <vt:lpstr>1</vt:lpstr>
      <vt:lpstr>2</vt:lpstr>
      <vt:lpstr>3</vt:lpstr>
      <vt:lpstr>4</vt:lpstr>
      <vt:lpstr>5</vt:lpstr>
      <vt:lpstr>6</vt:lpstr>
      <vt:lpstr>7</vt:lpstr>
      <vt:lpstr>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 Janakiraman</dc:creator>
  <cp:lastModifiedBy>Tirtha Biswas</cp:lastModifiedBy>
  <dcterms:created xsi:type="dcterms:W3CDTF">2019-02-25T05:45:22Z</dcterms:created>
  <dcterms:modified xsi:type="dcterms:W3CDTF">2019-09-18T14:59:58Z</dcterms:modified>
</cp:coreProperties>
</file>