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625"/>
  <workbookPr filterPrivacy="1" hidePivotFieldList="1"/>
  <bookViews>
    <workbookView xWindow="0" yWindow="0" windowWidth="20490" windowHeight="7530" tabRatio="880"/>
  </bookViews>
  <sheets>
    <sheet name="Introduction" sheetId="22" r:id="rId1"/>
    <sheet name="Reference" sheetId="19" r:id="rId2"/>
    <sheet name="1" sheetId="1" r:id="rId3"/>
    <sheet name="2" sheetId="20" r:id="rId4"/>
    <sheet name="3" sheetId="17" r:id="rId5"/>
    <sheet name="4" sheetId="18" r:id="rId6"/>
    <sheet name="5" sheetId="16" r:id="rId7"/>
    <sheet name="6" sheetId="6" r:id="rId8"/>
    <sheet name="7" sheetId="5" r:id="rId9"/>
    <sheet name="8" sheetId="14" r:id="rId10"/>
  </sheets>
  <definedNames>
    <definedName name="_xlnm.Print_Area" localSheetId="2">'1'!$B$105:$P$106</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7" i="1" l="1"/>
  <c r="N7" i="1" s="1"/>
  <c r="N33" i="1"/>
  <c r="N9" i="1"/>
  <c r="R9" i="1"/>
  <c r="N31" i="1"/>
  <c r="N40" i="1"/>
  <c r="N42" i="1"/>
  <c r="N11" i="1"/>
  <c r="N5" i="1" l="1"/>
  <c r="H9" i="1"/>
  <c r="P7" i="1"/>
  <c r="O7" i="1"/>
  <c r="T7" i="1"/>
  <c r="S7" i="1"/>
  <c r="R7" i="1"/>
  <c r="Q7" i="1"/>
  <c r="M69" i="1" l="1"/>
  <c r="L69" i="1"/>
  <c r="K69" i="1"/>
  <c r="J69" i="1"/>
  <c r="I69" i="1"/>
  <c r="H69" i="1"/>
  <c r="G69" i="1"/>
  <c r="F69" i="1"/>
  <c r="E69" i="1"/>
  <c r="D69" i="1"/>
  <c r="D68" i="1"/>
  <c r="B33" i="5" l="1"/>
  <c r="C33" i="5"/>
  <c r="M70" i="1" l="1"/>
  <c r="N70" i="1"/>
  <c r="O70" i="1"/>
  <c r="G99" i="1"/>
  <c r="H99" i="1"/>
  <c r="I99" i="1"/>
  <c r="J99" i="1"/>
  <c r="K99" i="1"/>
  <c r="L99" i="1"/>
  <c r="M99" i="1"/>
  <c r="N99" i="1"/>
  <c r="O99" i="1"/>
  <c r="D99" i="1"/>
  <c r="E99" i="1"/>
  <c r="E85" i="1"/>
  <c r="F85" i="1"/>
  <c r="G85" i="1"/>
  <c r="H85" i="1"/>
  <c r="I85" i="1"/>
  <c r="J85" i="1"/>
  <c r="K85" i="1"/>
  <c r="L85" i="1"/>
  <c r="M85" i="1"/>
  <c r="N85" i="1"/>
  <c r="O85" i="1"/>
  <c r="D85" i="1"/>
  <c r="V70" i="1"/>
  <c r="V76" i="1"/>
  <c r="V85" i="1"/>
  <c r="V99" i="1"/>
  <c r="D70" i="1"/>
  <c r="E70" i="1"/>
  <c r="M30" i="1"/>
  <c r="M31" i="1"/>
  <c r="M32" i="1"/>
  <c r="M33" i="1"/>
  <c r="M34" i="1"/>
  <c r="M35" i="1"/>
  <c r="M36" i="1"/>
  <c r="M37" i="1"/>
  <c r="L30" i="1"/>
  <c r="V30" i="1" s="1"/>
  <c r="L31" i="1"/>
  <c r="V31" i="1" s="1"/>
  <c r="L32" i="1"/>
  <c r="V32" i="1" s="1"/>
  <c r="L33" i="1"/>
  <c r="V33" i="1" s="1"/>
  <c r="L34" i="1"/>
  <c r="V34" i="1" s="1"/>
  <c r="L35" i="1"/>
  <c r="V35" i="1" s="1"/>
  <c r="L36" i="1"/>
  <c r="V36" i="1" s="1"/>
  <c r="L37" i="1"/>
  <c r="V37" i="1" s="1"/>
  <c r="K30" i="1"/>
  <c r="U30" i="1" s="1"/>
  <c r="K31" i="1"/>
  <c r="U31" i="1" s="1"/>
  <c r="K32" i="1"/>
  <c r="U32" i="1" s="1"/>
  <c r="K33" i="1"/>
  <c r="U33" i="1" s="1"/>
  <c r="K34" i="1"/>
  <c r="U34" i="1" s="1"/>
  <c r="K35" i="1"/>
  <c r="U35" i="1" s="1"/>
  <c r="K36" i="1"/>
  <c r="U36" i="1" s="1"/>
  <c r="K37" i="1"/>
  <c r="U37" i="1" s="1"/>
  <c r="J30" i="1"/>
  <c r="T30" i="1" s="1"/>
  <c r="J31" i="1"/>
  <c r="T31" i="1" s="1"/>
  <c r="J32" i="1"/>
  <c r="J33" i="1"/>
  <c r="T33" i="1" s="1"/>
  <c r="J34" i="1"/>
  <c r="T34" i="1" s="1"/>
  <c r="J35" i="1"/>
  <c r="T35" i="1" s="1"/>
  <c r="J36" i="1"/>
  <c r="T36" i="1" s="1"/>
  <c r="J37" i="1"/>
  <c r="T37" i="1" s="1"/>
  <c r="I30" i="1"/>
  <c r="S30" i="1" s="1"/>
  <c r="I31" i="1"/>
  <c r="S31" i="1" s="1"/>
  <c r="I32" i="1"/>
  <c r="S32" i="1" s="1"/>
  <c r="I33" i="1"/>
  <c r="S33" i="1" s="1"/>
  <c r="I34" i="1"/>
  <c r="S34" i="1" s="1"/>
  <c r="I35" i="1"/>
  <c r="S35" i="1" s="1"/>
  <c r="I36" i="1"/>
  <c r="S36" i="1" s="1"/>
  <c r="I37" i="1"/>
  <c r="S37" i="1" s="1"/>
  <c r="H30" i="1"/>
  <c r="R30" i="1" s="1"/>
  <c r="H31" i="1"/>
  <c r="R31" i="1" s="1"/>
  <c r="H32" i="1"/>
  <c r="H33" i="1"/>
  <c r="R33" i="1" s="1"/>
  <c r="H34" i="1"/>
  <c r="R34" i="1" s="1"/>
  <c r="H35" i="1"/>
  <c r="R35" i="1" s="1"/>
  <c r="H36" i="1"/>
  <c r="R36" i="1" s="1"/>
  <c r="H37" i="1"/>
  <c r="R37" i="1" s="1"/>
  <c r="G30" i="1"/>
  <c r="Q30" i="1" s="1"/>
  <c r="G31" i="1"/>
  <c r="Q31" i="1" s="1"/>
  <c r="G32" i="1"/>
  <c r="Q32" i="1" s="1"/>
  <c r="G33" i="1"/>
  <c r="Q33" i="1" s="1"/>
  <c r="G34" i="1"/>
  <c r="Q34" i="1" s="1"/>
  <c r="G35" i="1"/>
  <c r="Q35" i="1" s="1"/>
  <c r="G36" i="1"/>
  <c r="Q36" i="1" s="1"/>
  <c r="G37" i="1"/>
  <c r="Q37" i="1" s="1"/>
  <c r="F30" i="1"/>
  <c r="P30" i="1" s="1"/>
  <c r="F31" i="1"/>
  <c r="P31" i="1" s="1"/>
  <c r="F32" i="1"/>
  <c r="P32" i="1" s="1"/>
  <c r="F33" i="1"/>
  <c r="P33" i="1" s="1"/>
  <c r="F34" i="1"/>
  <c r="P34" i="1" s="1"/>
  <c r="F35" i="1"/>
  <c r="P35" i="1" s="1"/>
  <c r="F36" i="1"/>
  <c r="P36" i="1" s="1"/>
  <c r="F37" i="1"/>
  <c r="E30" i="1"/>
  <c r="O30" i="1" s="1"/>
  <c r="E31" i="1"/>
  <c r="O31" i="1" s="1"/>
  <c r="E32" i="1"/>
  <c r="O32" i="1" s="1"/>
  <c r="E33" i="1"/>
  <c r="O33" i="1" s="1"/>
  <c r="E34" i="1"/>
  <c r="O34" i="1" s="1"/>
  <c r="E35" i="1"/>
  <c r="O35" i="1" s="1"/>
  <c r="E36" i="1"/>
  <c r="O36" i="1" s="1"/>
  <c r="E37" i="1"/>
  <c r="O37" i="1" s="1"/>
  <c r="D30" i="1"/>
  <c r="N30" i="1" s="1"/>
  <c r="D31" i="1"/>
  <c r="D32" i="1"/>
  <c r="N32" i="1" s="1"/>
  <c r="D33" i="1"/>
  <c r="D34" i="1"/>
  <c r="N34" i="1" s="1"/>
  <c r="D35" i="1"/>
  <c r="N35" i="1" s="1"/>
  <c r="D36" i="1"/>
  <c r="N36" i="1" s="1"/>
  <c r="D37" i="1"/>
  <c r="N37" i="1" s="1"/>
  <c r="M29" i="1"/>
  <c r="L29" i="1"/>
  <c r="K29" i="1"/>
  <c r="J29" i="1"/>
  <c r="I29" i="1"/>
  <c r="H29" i="1"/>
  <c r="G29" i="1"/>
  <c r="F29" i="1"/>
  <c r="E29" i="1"/>
  <c r="D29" i="1"/>
  <c r="M67" i="1"/>
  <c r="M68" i="1"/>
  <c r="L67" i="1"/>
  <c r="L68" i="1"/>
  <c r="V69" i="1"/>
  <c r="K67" i="1"/>
  <c r="K68" i="1"/>
  <c r="U69" i="1"/>
  <c r="J67" i="1"/>
  <c r="J68" i="1"/>
  <c r="S68" i="1" s="1"/>
  <c r="I67" i="1"/>
  <c r="I68" i="1"/>
  <c r="H67" i="1"/>
  <c r="H68" i="1"/>
  <c r="G67" i="1"/>
  <c r="G68" i="1"/>
  <c r="F67" i="1"/>
  <c r="P67" i="1" s="1"/>
  <c r="F68" i="1"/>
  <c r="P68" i="1" s="1"/>
  <c r="E67" i="1"/>
  <c r="E68" i="1"/>
  <c r="D67" i="1"/>
  <c r="M66" i="1"/>
  <c r="L66" i="1"/>
  <c r="K66" i="1"/>
  <c r="J66" i="1"/>
  <c r="T66" i="1" s="1"/>
  <c r="I66" i="1"/>
  <c r="H66" i="1"/>
  <c r="G66" i="1"/>
  <c r="F66" i="1"/>
  <c r="P66" i="1" s="1"/>
  <c r="E66" i="1"/>
  <c r="D66" i="1"/>
  <c r="M59" i="1"/>
  <c r="M60" i="1"/>
  <c r="M61" i="1"/>
  <c r="M62" i="1"/>
  <c r="M63" i="1"/>
  <c r="M64" i="1"/>
  <c r="L59" i="1"/>
  <c r="L60" i="1"/>
  <c r="L61" i="1"/>
  <c r="L62" i="1"/>
  <c r="V62" i="1" s="1"/>
  <c r="L63" i="1"/>
  <c r="L64" i="1"/>
  <c r="K59" i="1"/>
  <c r="K60" i="1"/>
  <c r="U60" i="1" s="1"/>
  <c r="K61" i="1"/>
  <c r="K62" i="1"/>
  <c r="K63" i="1"/>
  <c r="K64" i="1"/>
  <c r="U64" i="1" s="1"/>
  <c r="J59" i="1"/>
  <c r="J60" i="1"/>
  <c r="J61" i="1"/>
  <c r="J62" i="1"/>
  <c r="T62" i="1" s="1"/>
  <c r="J63" i="1"/>
  <c r="J64" i="1"/>
  <c r="I59" i="1"/>
  <c r="I60" i="1"/>
  <c r="S60" i="1" s="1"/>
  <c r="I61" i="1"/>
  <c r="I62" i="1"/>
  <c r="I63" i="1"/>
  <c r="I64" i="1"/>
  <c r="S64" i="1" s="1"/>
  <c r="H59" i="1"/>
  <c r="H60" i="1"/>
  <c r="H61" i="1"/>
  <c r="H62" i="1"/>
  <c r="R62" i="1" s="1"/>
  <c r="H63" i="1"/>
  <c r="H64" i="1"/>
  <c r="G59" i="1"/>
  <c r="G60" i="1"/>
  <c r="Q60" i="1" s="1"/>
  <c r="G61" i="1"/>
  <c r="G62" i="1"/>
  <c r="G63" i="1"/>
  <c r="G64" i="1"/>
  <c r="Q64" i="1" s="1"/>
  <c r="F59" i="1"/>
  <c r="F60" i="1"/>
  <c r="F61" i="1"/>
  <c r="F62" i="1"/>
  <c r="P62" i="1" s="1"/>
  <c r="F63" i="1"/>
  <c r="F64" i="1"/>
  <c r="E59" i="1"/>
  <c r="E60" i="1"/>
  <c r="O60" i="1" s="1"/>
  <c r="E61" i="1"/>
  <c r="E62" i="1"/>
  <c r="E63" i="1"/>
  <c r="E64" i="1"/>
  <c r="O64" i="1" s="1"/>
  <c r="D59" i="1"/>
  <c r="D60" i="1"/>
  <c r="D61" i="1"/>
  <c r="D62" i="1"/>
  <c r="N62" i="1" s="1"/>
  <c r="D63" i="1"/>
  <c r="D64" i="1"/>
  <c r="D58" i="1"/>
  <c r="M58" i="1"/>
  <c r="L58" i="1"/>
  <c r="K58" i="1"/>
  <c r="J58" i="1"/>
  <c r="T58" i="1" s="1"/>
  <c r="I58" i="1"/>
  <c r="H58" i="1"/>
  <c r="G58" i="1"/>
  <c r="F58" i="1"/>
  <c r="P58" i="1" s="1"/>
  <c r="E58" i="1"/>
  <c r="M48" i="1"/>
  <c r="M49" i="1"/>
  <c r="M50" i="1"/>
  <c r="M51" i="1"/>
  <c r="M52" i="1"/>
  <c r="L48" i="1"/>
  <c r="L49" i="1"/>
  <c r="V49" i="1" s="1"/>
  <c r="L50" i="1"/>
  <c r="V50" i="1" s="1"/>
  <c r="L51" i="1"/>
  <c r="L52" i="1"/>
  <c r="K48" i="1"/>
  <c r="U48" i="1" s="1"/>
  <c r="K49" i="1"/>
  <c r="U49" i="1" s="1"/>
  <c r="K50" i="1"/>
  <c r="K51" i="1"/>
  <c r="K52" i="1"/>
  <c r="U52" i="1" s="1"/>
  <c r="J48" i="1"/>
  <c r="T48" i="1" s="1"/>
  <c r="J49" i="1"/>
  <c r="J50" i="1"/>
  <c r="J51" i="1"/>
  <c r="T51" i="1" s="1"/>
  <c r="J52" i="1"/>
  <c r="T52" i="1" s="1"/>
  <c r="I48" i="1"/>
  <c r="I49" i="1"/>
  <c r="I50" i="1"/>
  <c r="S50" i="1" s="1"/>
  <c r="I51" i="1"/>
  <c r="S51" i="1" s="1"/>
  <c r="I52" i="1"/>
  <c r="H48" i="1"/>
  <c r="H49" i="1"/>
  <c r="R49" i="1" s="1"/>
  <c r="H50" i="1"/>
  <c r="R50" i="1" s="1"/>
  <c r="H51" i="1"/>
  <c r="H52" i="1"/>
  <c r="G48" i="1"/>
  <c r="Q48" i="1" s="1"/>
  <c r="G49" i="1"/>
  <c r="Q49" i="1" s="1"/>
  <c r="G50" i="1"/>
  <c r="G51" i="1"/>
  <c r="G52" i="1"/>
  <c r="Q52" i="1" s="1"/>
  <c r="F48" i="1"/>
  <c r="P48" i="1" s="1"/>
  <c r="F49" i="1"/>
  <c r="F50" i="1"/>
  <c r="F51" i="1"/>
  <c r="P51" i="1" s="1"/>
  <c r="F52" i="1"/>
  <c r="P52" i="1" s="1"/>
  <c r="E48" i="1"/>
  <c r="E49" i="1"/>
  <c r="E50" i="1"/>
  <c r="O50" i="1" s="1"/>
  <c r="E51" i="1"/>
  <c r="O51" i="1" s="1"/>
  <c r="E52" i="1"/>
  <c r="D48" i="1"/>
  <c r="D49" i="1"/>
  <c r="N49" i="1" s="1"/>
  <c r="D50" i="1"/>
  <c r="N50" i="1" s="1"/>
  <c r="D51" i="1"/>
  <c r="D52" i="1"/>
  <c r="M47" i="1"/>
  <c r="L47" i="1"/>
  <c r="V47" i="1" s="1"/>
  <c r="K47" i="1"/>
  <c r="J47" i="1"/>
  <c r="I47" i="1"/>
  <c r="S47" i="1" s="1"/>
  <c r="H47" i="1"/>
  <c r="R47" i="1" s="1"/>
  <c r="G47" i="1"/>
  <c r="F47" i="1"/>
  <c r="E47" i="1"/>
  <c r="O47" i="1" s="1"/>
  <c r="D47" i="1"/>
  <c r="N47" i="1" s="1"/>
  <c r="M40" i="1"/>
  <c r="M42" i="1"/>
  <c r="M43" i="1"/>
  <c r="M44" i="1"/>
  <c r="M45" i="1"/>
  <c r="L40" i="1"/>
  <c r="L42" i="1"/>
  <c r="V42" i="1" s="1"/>
  <c r="L43" i="1"/>
  <c r="V43" i="1" s="1"/>
  <c r="L44" i="1"/>
  <c r="L45" i="1"/>
  <c r="K40" i="1"/>
  <c r="U40" i="1" s="1"/>
  <c r="K42" i="1"/>
  <c r="U42" i="1" s="1"/>
  <c r="K43" i="1"/>
  <c r="K44" i="1"/>
  <c r="K45" i="1"/>
  <c r="U45" i="1" s="1"/>
  <c r="J40" i="1"/>
  <c r="T40" i="1" s="1"/>
  <c r="J42" i="1"/>
  <c r="J43" i="1"/>
  <c r="J44" i="1"/>
  <c r="T44" i="1" s="1"/>
  <c r="J45" i="1"/>
  <c r="T45" i="1" s="1"/>
  <c r="I40" i="1"/>
  <c r="I42" i="1"/>
  <c r="I43" i="1"/>
  <c r="S43" i="1" s="1"/>
  <c r="I44" i="1"/>
  <c r="S44" i="1" s="1"/>
  <c r="I45" i="1"/>
  <c r="H40" i="1"/>
  <c r="H42" i="1"/>
  <c r="R42" i="1" s="1"/>
  <c r="H43" i="1"/>
  <c r="R43" i="1" s="1"/>
  <c r="H44" i="1"/>
  <c r="H45" i="1"/>
  <c r="G40" i="1"/>
  <c r="Q40" i="1" s="1"/>
  <c r="G42" i="1"/>
  <c r="Q42" i="1" s="1"/>
  <c r="G43" i="1"/>
  <c r="G44" i="1"/>
  <c r="G45" i="1"/>
  <c r="Q45" i="1" s="1"/>
  <c r="F40" i="1"/>
  <c r="P40" i="1" s="1"/>
  <c r="F42" i="1"/>
  <c r="F43" i="1"/>
  <c r="F44" i="1"/>
  <c r="P44" i="1" s="1"/>
  <c r="F45" i="1"/>
  <c r="P45" i="1" s="1"/>
  <c r="M39" i="1"/>
  <c r="L39" i="1"/>
  <c r="K39" i="1"/>
  <c r="U39" i="1" s="1"/>
  <c r="J39" i="1"/>
  <c r="T39" i="1" s="1"/>
  <c r="I39" i="1"/>
  <c r="H39" i="1"/>
  <c r="G39" i="1"/>
  <c r="Q39" i="1" s="1"/>
  <c r="F39" i="1"/>
  <c r="P39" i="1" s="1"/>
  <c r="E40" i="1"/>
  <c r="E42" i="1"/>
  <c r="E43" i="1"/>
  <c r="O43" i="1" s="1"/>
  <c r="E44" i="1"/>
  <c r="O44" i="1" s="1"/>
  <c r="E45" i="1"/>
  <c r="E39" i="1"/>
  <c r="D40" i="1"/>
  <c r="D42" i="1"/>
  <c r="D43" i="1"/>
  <c r="D44" i="1"/>
  <c r="D45" i="1"/>
  <c r="D39" i="1"/>
  <c r="N39" i="1" s="1"/>
  <c r="M13" i="1"/>
  <c r="M14" i="1"/>
  <c r="M15" i="1"/>
  <c r="M16" i="1"/>
  <c r="M17" i="1"/>
  <c r="M18" i="1"/>
  <c r="M19" i="1"/>
  <c r="M20" i="1"/>
  <c r="M21" i="1"/>
  <c r="M22" i="1"/>
  <c r="M23" i="1"/>
  <c r="M24" i="1"/>
  <c r="L13" i="1"/>
  <c r="V13" i="1" s="1"/>
  <c r="L14" i="1"/>
  <c r="V14" i="1" s="1"/>
  <c r="L15" i="1"/>
  <c r="V15" i="1" s="1"/>
  <c r="K15" i="20" s="1"/>
  <c r="L16" i="1"/>
  <c r="V16" i="1" s="1"/>
  <c r="K14" i="20" s="1"/>
  <c r="L17" i="1"/>
  <c r="V17" i="1" s="1"/>
  <c r="L18" i="1"/>
  <c r="V18" i="1" s="1"/>
  <c r="K16" i="20" s="1"/>
  <c r="L19" i="1"/>
  <c r="V19" i="1" s="1"/>
  <c r="K19" i="20" s="1"/>
  <c r="L20" i="1"/>
  <c r="V20" i="1" s="1"/>
  <c r="K12" i="20" s="1"/>
  <c r="L21" i="1"/>
  <c r="V21" i="1" s="1"/>
  <c r="K17" i="20" s="1"/>
  <c r="L22" i="1"/>
  <c r="V22" i="1" s="1"/>
  <c r="K18" i="20" s="1"/>
  <c r="L23" i="1"/>
  <c r="V23" i="1" s="1"/>
  <c r="K13" i="20" s="1"/>
  <c r="L24" i="1"/>
  <c r="V24" i="1" s="1"/>
  <c r="K20" i="20" s="1"/>
  <c r="K13" i="1"/>
  <c r="U13" i="1" s="1"/>
  <c r="K14" i="1"/>
  <c r="U14" i="1" s="1"/>
  <c r="K15" i="1"/>
  <c r="U15" i="1" s="1"/>
  <c r="J15" i="20" s="1"/>
  <c r="K16" i="1"/>
  <c r="U16" i="1" s="1"/>
  <c r="J14" i="20" s="1"/>
  <c r="K17" i="1"/>
  <c r="U17" i="1" s="1"/>
  <c r="K18" i="1"/>
  <c r="U18" i="1" s="1"/>
  <c r="J16" i="20" s="1"/>
  <c r="K19" i="1"/>
  <c r="U19" i="1" s="1"/>
  <c r="J19" i="20" s="1"/>
  <c r="K20" i="1"/>
  <c r="U20" i="1" s="1"/>
  <c r="J12" i="20" s="1"/>
  <c r="K21" i="1"/>
  <c r="U21" i="1" s="1"/>
  <c r="J17" i="20" s="1"/>
  <c r="K22" i="1"/>
  <c r="U22" i="1" s="1"/>
  <c r="J18" i="20" s="1"/>
  <c r="K23" i="1"/>
  <c r="U23" i="1" s="1"/>
  <c r="J13" i="20" s="1"/>
  <c r="K24" i="1"/>
  <c r="U24" i="1" s="1"/>
  <c r="J20" i="20" s="1"/>
  <c r="J13" i="1"/>
  <c r="T13" i="1" s="1"/>
  <c r="J14" i="1"/>
  <c r="T14" i="1" s="1"/>
  <c r="J15" i="1"/>
  <c r="T15" i="1" s="1"/>
  <c r="I15" i="20" s="1"/>
  <c r="J16" i="1"/>
  <c r="T16" i="1" s="1"/>
  <c r="I14" i="20" s="1"/>
  <c r="J17" i="1"/>
  <c r="T17" i="1" s="1"/>
  <c r="J18" i="1"/>
  <c r="T18" i="1" s="1"/>
  <c r="I16" i="20" s="1"/>
  <c r="J19" i="1"/>
  <c r="T19" i="1" s="1"/>
  <c r="I19" i="20" s="1"/>
  <c r="J20" i="1"/>
  <c r="T20" i="1" s="1"/>
  <c r="J21" i="1"/>
  <c r="T21" i="1" s="1"/>
  <c r="I17" i="20" s="1"/>
  <c r="J22" i="1"/>
  <c r="T22" i="1" s="1"/>
  <c r="I18" i="20" s="1"/>
  <c r="J23" i="1"/>
  <c r="T23" i="1" s="1"/>
  <c r="I13" i="20" s="1"/>
  <c r="J24" i="1"/>
  <c r="T24" i="1" s="1"/>
  <c r="I20" i="20" s="1"/>
  <c r="I13" i="1"/>
  <c r="S13" i="1" s="1"/>
  <c r="I14" i="1"/>
  <c r="S14" i="1" s="1"/>
  <c r="I15" i="1"/>
  <c r="S15" i="1" s="1"/>
  <c r="H15" i="20" s="1"/>
  <c r="G17" i="18" s="1"/>
  <c r="I16" i="1"/>
  <c r="S16" i="1" s="1"/>
  <c r="H14" i="20" s="1"/>
  <c r="G16" i="18" s="1"/>
  <c r="H16" i="18" s="1"/>
  <c r="I17" i="1"/>
  <c r="S17" i="1" s="1"/>
  <c r="I18" i="1"/>
  <c r="S18" i="1" s="1"/>
  <c r="H16" i="20" s="1"/>
  <c r="I19" i="1"/>
  <c r="S19" i="1" s="1"/>
  <c r="H19" i="20" s="1"/>
  <c r="G21" i="18" s="1"/>
  <c r="H21" i="18" s="1"/>
  <c r="I20" i="1"/>
  <c r="S20" i="1" s="1"/>
  <c r="H12" i="20" s="1"/>
  <c r="G14" i="18" s="1"/>
  <c r="I21" i="1"/>
  <c r="S21" i="1" s="1"/>
  <c r="H17" i="20" s="1"/>
  <c r="G19" i="18" s="1"/>
  <c r="H19" i="18" s="1"/>
  <c r="I22" i="1"/>
  <c r="S22" i="1" s="1"/>
  <c r="H18" i="20" s="1"/>
  <c r="G20" i="18" s="1"/>
  <c r="I23" i="1"/>
  <c r="S23" i="1" s="1"/>
  <c r="H13" i="20" s="1"/>
  <c r="G15" i="18" s="1"/>
  <c r="I24" i="1"/>
  <c r="S24" i="1" s="1"/>
  <c r="H20" i="20" s="1"/>
  <c r="G22" i="18" s="1"/>
  <c r="H22" i="18" s="1"/>
  <c r="H13" i="1"/>
  <c r="R13" i="1" s="1"/>
  <c r="H14" i="1"/>
  <c r="R14" i="1" s="1"/>
  <c r="H15" i="1"/>
  <c r="R15" i="1" s="1"/>
  <c r="G15" i="20" s="1"/>
  <c r="H16" i="1"/>
  <c r="R16" i="1" s="1"/>
  <c r="G14" i="20" s="1"/>
  <c r="H17" i="1"/>
  <c r="R17" i="1" s="1"/>
  <c r="H18" i="1"/>
  <c r="R18" i="1" s="1"/>
  <c r="G16" i="20" s="1"/>
  <c r="H19" i="1"/>
  <c r="R19" i="1" s="1"/>
  <c r="G19" i="20" s="1"/>
  <c r="H20" i="1"/>
  <c r="R20" i="1" s="1"/>
  <c r="G12" i="20" s="1"/>
  <c r="H21" i="1"/>
  <c r="R21" i="1" s="1"/>
  <c r="G17" i="20" s="1"/>
  <c r="H22" i="1"/>
  <c r="R22" i="1" s="1"/>
  <c r="G18" i="20" s="1"/>
  <c r="H23" i="1"/>
  <c r="R23" i="1" s="1"/>
  <c r="G13" i="20" s="1"/>
  <c r="H24" i="1"/>
  <c r="R24" i="1" s="1"/>
  <c r="G20" i="20" s="1"/>
  <c r="G13" i="1"/>
  <c r="Q13" i="1" s="1"/>
  <c r="G14" i="1"/>
  <c r="Q14" i="1" s="1"/>
  <c r="G15" i="1"/>
  <c r="Q15" i="1" s="1"/>
  <c r="F15" i="20" s="1"/>
  <c r="G16" i="1"/>
  <c r="Q16" i="1" s="1"/>
  <c r="F14" i="20" s="1"/>
  <c r="G17" i="1"/>
  <c r="Q17" i="1" s="1"/>
  <c r="G18" i="1"/>
  <c r="Q18" i="1" s="1"/>
  <c r="F16" i="20" s="1"/>
  <c r="G19" i="1"/>
  <c r="Q19" i="1" s="1"/>
  <c r="F19" i="20" s="1"/>
  <c r="G20" i="1"/>
  <c r="Q20" i="1" s="1"/>
  <c r="F12" i="20" s="1"/>
  <c r="G21" i="1"/>
  <c r="Q21" i="1" s="1"/>
  <c r="F17" i="20" s="1"/>
  <c r="G22" i="1"/>
  <c r="Q22" i="1" s="1"/>
  <c r="F18" i="20" s="1"/>
  <c r="G23" i="1"/>
  <c r="Q23" i="1" s="1"/>
  <c r="F13" i="20" s="1"/>
  <c r="G24" i="1"/>
  <c r="Q24" i="1" s="1"/>
  <c r="F20" i="20" s="1"/>
  <c r="F13" i="1"/>
  <c r="P13" i="1" s="1"/>
  <c r="F14" i="1"/>
  <c r="P14" i="1" s="1"/>
  <c r="F15" i="1"/>
  <c r="P15" i="1" s="1"/>
  <c r="E15" i="20" s="1"/>
  <c r="D17" i="18" s="1"/>
  <c r="F16" i="1"/>
  <c r="P16" i="1" s="1"/>
  <c r="E14" i="20" s="1"/>
  <c r="D16" i="18" s="1"/>
  <c r="E16" i="18" s="1"/>
  <c r="F17" i="1"/>
  <c r="P17" i="1" s="1"/>
  <c r="F18" i="1"/>
  <c r="P18" i="1" s="1"/>
  <c r="E16" i="20" s="1"/>
  <c r="D18" i="18" s="1"/>
  <c r="F19" i="1"/>
  <c r="P19" i="1" s="1"/>
  <c r="E19" i="20" s="1"/>
  <c r="D21" i="18" s="1"/>
  <c r="F20" i="1"/>
  <c r="P20" i="1" s="1"/>
  <c r="E12" i="20" s="1"/>
  <c r="D14" i="18" s="1"/>
  <c r="F21" i="1"/>
  <c r="P21" i="1" s="1"/>
  <c r="E17" i="20" s="1"/>
  <c r="D19" i="18" s="1"/>
  <c r="F22" i="1"/>
  <c r="P22" i="1" s="1"/>
  <c r="E18" i="20" s="1"/>
  <c r="D20" i="18" s="1"/>
  <c r="F23" i="1"/>
  <c r="P23" i="1" s="1"/>
  <c r="E13" i="20" s="1"/>
  <c r="D15" i="18" s="1"/>
  <c r="F24" i="1"/>
  <c r="P24" i="1" s="1"/>
  <c r="E20" i="20" s="1"/>
  <c r="D22" i="18" s="1"/>
  <c r="E13" i="1"/>
  <c r="O13" i="1" s="1"/>
  <c r="E14" i="1"/>
  <c r="O14" i="1" s="1"/>
  <c r="E15" i="1"/>
  <c r="O15" i="1" s="1"/>
  <c r="D15" i="20" s="1"/>
  <c r="E16" i="1"/>
  <c r="O16" i="1" s="1"/>
  <c r="D14" i="20" s="1"/>
  <c r="E17" i="1"/>
  <c r="O17" i="1" s="1"/>
  <c r="E18" i="1"/>
  <c r="O18" i="1" s="1"/>
  <c r="D16" i="20" s="1"/>
  <c r="E19" i="1"/>
  <c r="O19" i="1" s="1"/>
  <c r="D19" i="20" s="1"/>
  <c r="E20" i="1"/>
  <c r="O20" i="1" s="1"/>
  <c r="D12" i="20" s="1"/>
  <c r="E21" i="1"/>
  <c r="O21" i="1" s="1"/>
  <c r="D17" i="20" s="1"/>
  <c r="E22" i="1"/>
  <c r="O22" i="1" s="1"/>
  <c r="D18" i="20" s="1"/>
  <c r="E23" i="1"/>
  <c r="O23" i="1" s="1"/>
  <c r="D13" i="20" s="1"/>
  <c r="E24" i="1"/>
  <c r="O24" i="1" s="1"/>
  <c r="D20" i="20" s="1"/>
  <c r="D13" i="1"/>
  <c r="N13" i="1" s="1"/>
  <c r="D14" i="1"/>
  <c r="N14" i="1" s="1"/>
  <c r="D15" i="1"/>
  <c r="N15" i="1" s="1"/>
  <c r="C15" i="20" s="1"/>
  <c r="D16" i="1"/>
  <c r="N16" i="1" s="1"/>
  <c r="C14" i="20" s="1"/>
  <c r="D17" i="1"/>
  <c r="N17" i="1" s="1"/>
  <c r="D18" i="1"/>
  <c r="N18" i="1" s="1"/>
  <c r="C16" i="20" s="1"/>
  <c r="D19" i="1"/>
  <c r="N19" i="1" s="1"/>
  <c r="C19" i="20" s="1"/>
  <c r="D20" i="1"/>
  <c r="N20" i="1" s="1"/>
  <c r="C12" i="20" s="1"/>
  <c r="D21" i="1"/>
  <c r="N21" i="1" s="1"/>
  <c r="C17" i="20" s="1"/>
  <c r="D22" i="1"/>
  <c r="N22" i="1" s="1"/>
  <c r="C18" i="20" s="1"/>
  <c r="D23" i="1"/>
  <c r="N23" i="1" s="1"/>
  <c r="C13" i="20" s="1"/>
  <c r="D24" i="1"/>
  <c r="N24" i="1" s="1"/>
  <c r="C20" i="20" s="1"/>
  <c r="M12" i="1"/>
  <c r="L12" i="1"/>
  <c r="K12" i="1"/>
  <c r="J12" i="1"/>
  <c r="I12" i="1"/>
  <c r="H12" i="1"/>
  <c r="G12" i="1"/>
  <c r="F12" i="1"/>
  <c r="E12" i="1"/>
  <c r="D12" i="1"/>
  <c r="M8" i="1"/>
  <c r="M9" i="1"/>
  <c r="M10" i="1"/>
  <c r="L8" i="1"/>
  <c r="L9" i="1"/>
  <c r="L10" i="1"/>
  <c r="K8" i="1"/>
  <c r="K9" i="1"/>
  <c r="K10" i="1"/>
  <c r="J8" i="1"/>
  <c r="J9" i="1"/>
  <c r="T9" i="1" s="1"/>
  <c r="J10" i="1"/>
  <c r="I8" i="1"/>
  <c r="I9" i="1"/>
  <c r="I10" i="1"/>
  <c r="S10" i="1" s="1"/>
  <c r="G13" i="18" s="1"/>
  <c r="H8" i="1"/>
  <c r="H10" i="1"/>
  <c r="G8" i="1"/>
  <c r="Q8" i="1" s="1"/>
  <c r="G9" i="1"/>
  <c r="G10" i="1"/>
  <c r="F8" i="1"/>
  <c r="F9" i="1"/>
  <c r="P9" i="1" s="1"/>
  <c r="D12" i="18" s="1"/>
  <c r="F10" i="1"/>
  <c r="E8" i="1"/>
  <c r="E9" i="1"/>
  <c r="E10" i="1"/>
  <c r="O10" i="1" s="1"/>
  <c r="M7" i="1"/>
  <c r="L7" i="1"/>
  <c r="K7" i="1"/>
  <c r="J7" i="1"/>
  <c r="I7" i="1"/>
  <c r="H7" i="1"/>
  <c r="G7" i="1"/>
  <c r="F7" i="1"/>
  <c r="D8" i="1"/>
  <c r="N8" i="1" s="1"/>
  <c r="D9" i="1"/>
  <c r="D10" i="1"/>
  <c r="N10" i="1" s="1"/>
  <c r="D7" i="1"/>
  <c r="K33" i="5"/>
  <c r="B20" i="6"/>
  <c r="C20" i="6"/>
  <c r="K20" i="6"/>
  <c r="U70" i="1"/>
  <c r="U76" i="1"/>
  <c r="U85" i="1"/>
  <c r="U99" i="1"/>
  <c r="T70" i="1"/>
  <c r="T76" i="1"/>
  <c r="T85" i="1"/>
  <c r="T99" i="1"/>
  <c r="F12" i="18"/>
  <c r="F17" i="18"/>
  <c r="G18" i="18"/>
  <c r="H18" i="18" s="1"/>
  <c r="F15" i="18"/>
  <c r="S70" i="1"/>
  <c r="S76" i="1"/>
  <c r="S85" i="1"/>
  <c r="S99" i="1"/>
  <c r="R70" i="1"/>
  <c r="R76" i="1"/>
  <c r="R85" i="1"/>
  <c r="R99" i="1"/>
  <c r="P69" i="1"/>
  <c r="P70" i="1"/>
  <c r="P76" i="1"/>
  <c r="P85" i="1"/>
  <c r="P99" i="1"/>
  <c r="Q70" i="1"/>
  <c r="Q76" i="1"/>
  <c r="Q85" i="1"/>
  <c r="Q99" i="1"/>
  <c r="F23" i="18"/>
  <c r="H23" i="18" s="1"/>
  <c r="F14" i="18"/>
  <c r="F11" i="18"/>
  <c r="F10" i="18"/>
  <c r="F9" i="18"/>
  <c r="F8" i="18"/>
  <c r="F24" i="18" s="1"/>
  <c r="F7" i="18"/>
  <c r="F6" i="18"/>
  <c r="F5" i="18"/>
  <c r="F28" i="18" s="1"/>
  <c r="C23" i="18"/>
  <c r="C17" i="18"/>
  <c r="C16" i="18"/>
  <c r="C15" i="18"/>
  <c r="C14" i="18"/>
  <c r="C11" i="18"/>
  <c r="C10" i="18"/>
  <c r="C9" i="18"/>
  <c r="C8" i="18"/>
  <c r="C7" i="18"/>
  <c r="C6" i="18"/>
  <c r="C5" i="18"/>
  <c r="C24" i="18" s="1"/>
  <c r="E9" i="16"/>
  <c r="D6" i="16"/>
  <c r="G70" i="1"/>
  <c r="H70" i="1"/>
  <c r="I70" i="1"/>
  <c r="J70" i="1"/>
  <c r="K70" i="1"/>
  <c r="L70" i="1"/>
  <c r="F76" i="1"/>
  <c r="G76" i="1"/>
  <c r="H76" i="1"/>
  <c r="I76" i="1"/>
  <c r="J76" i="1"/>
  <c r="K76" i="1"/>
  <c r="L76" i="1"/>
  <c r="F99" i="1"/>
  <c r="F70" i="1"/>
  <c r="C28" i="18"/>
  <c r="F20" i="6"/>
  <c r="I20" i="6"/>
  <c r="J20" i="6"/>
  <c r="H20" i="6"/>
  <c r="G20" i="6"/>
  <c r="D20" i="6"/>
  <c r="E20" i="6"/>
  <c r="E33" i="5"/>
  <c r="F33" i="5"/>
  <c r="G33" i="5"/>
  <c r="H33" i="5"/>
  <c r="I33" i="5"/>
  <c r="J33" i="5"/>
  <c r="D33" i="5"/>
  <c r="R69" i="1"/>
  <c r="I12" i="20"/>
  <c r="E15" i="18" l="1"/>
  <c r="E17" i="18"/>
  <c r="H15" i="18"/>
  <c r="H17" i="18"/>
  <c r="P37" i="1"/>
  <c r="T32" i="1"/>
  <c r="E57" i="1"/>
  <c r="I57" i="1"/>
  <c r="M57" i="1"/>
  <c r="T67" i="1"/>
  <c r="G28" i="1"/>
  <c r="K28" i="1"/>
  <c r="T68" i="1"/>
  <c r="Q12" i="1"/>
  <c r="U12" i="1"/>
  <c r="O8" i="1"/>
  <c r="S8" i="1"/>
  <c r="U10" i="1"/>
  <c r="V9" i="1"/>
  <c r="L5" i="1"/>
  <c r="Q10" i="1"/>
  <c r="D11" i="18"/>
  <c r="Q68" i="1"/>
  <c r="V68" i="1"/>
  <c r="S67" i="1"/>
  <c r="S69" i="1"/>
  <c r="U68" i="1"/>
  <c r="N29" i="1"/>
  <c r="N28" i="1" s="1"/>
  <c r="C9" i="20" s="1"/>
  <c r="R32" i="1"/>
  <c r="T69" i="1"/>
  <c r="R68" i="1"/>
  <c r="Q69" i="1"/>
  <c r="N67" i="1"/>
  <c r="Q67" i="1"/>
  <c r="U67" i="1"/>
  <c r="N43" i="1"/>
  <c r="N63" i="1"/>
  <c r="N59" i="1"/>
  <c r="C7" i="20" s="1"/>
  <c r="O61" i="1"/>
  <c r="P63" i="1"/>
  <c r="P59" i="1"/>
  <c r="E7" i="20" s="1"/>
  <c r="D7" i="18" s="1"/>
  <c r="E7" i="18" s="1"/>
  <c r="Q61" i="1"/>
  <c r="R63" i="1"/>
  <c r="R59" i="1"/>
  <c r="G7" i="20" s="1"/>
  <c r="S61" i="1"/>
  <c r="T63" i="1"/>
  <c r="T59" i="1"/>
  <c r="I7" i="20" s="1"/>
  <c r="U61" i="1"/>
  <c r="V63" i="1"/>
  <c r="V59" i="1"/>
  <c r="K7" i="20" s="1"/>
  <c r="P65" i="1"/>
  <c r="E10" i="20" s="1"/>
  <c r="D10" i="18" s="1"/>
  <c r="E10" i="18" s="1"/>
  <c r="N58" i="1"/>
  <c r="N61" i="1"/>
  <c r="O63" i="1"/>
  <c r="O59" i="1"/>
  <c r="D7" i="20" s="1"/>
  <c r="P61" i="1"/>
  <c r="Q63" i="1"/>
  <c r="Q59" i="1"/>
  <c r="F7" i="20" s="1"/>
  <c r="R61" i="1"/>
  <c r="S63" i="1"/>
  <c r="S59" i="1"/>
  <c r="H7" i="20" s="1"/>
  <c r="G7" i="18" s="1"/>
  <c r="H7" i="18" s="1"/>
  <c r="T61" i="1"/>
  <c r="U63" i="1"/>
  <c r="U59" i="1"/>
  <c r="J7" i="20" s="1"/>
  <c r="V61" i="1"/>
  <c r="K65" i="1"/>
  <c r="O67" i="1"/>
  <c r="R67" i="1"/>
  <c r="V67" i="1"/>
  <c r="H28" i="1"/>
  <c r="L28" i="1"/>
  <c r="N44" i="1"/>
  <c r="O39" i="1"/>
  <c r="O42" i="1"/>
  <c r="R39" i="1"/>
  <c r="V39" i="1"/>
  <c r="P43" i="1"/>
  <c r="Q44" i="1"/>
  <c r="R45" i="1"/>
  <c r="R40" i="1"/>
  <c r="S42" i="1"/>
  <c r="T43" i="1"/>
  <c r="U44" i="1"/>
  <c r="V45" i="1"/>
  <c r="V40" i="1"/>
  <c r="P47" i="1"/>
  <c r="T47" i="1"/>
  <c r="N52" i="1"/>
  <c r="N48" i="1"/>
  <c r="O49" i="1"/>
  <c r="P50" i="1"/>
  <c r="Q51" i="1"/>
  <c r="R52" i="1"/>
  <c r="R48" i="1"/>
  <c r="S49" i="1"/>
  <c r="T50" i="1"/>
  <c r="U51" i="1"/>
  <c r="V52" i="1"/>
  <c r="V48" i="1"/>
  <c r="Q58" i="1"/>
  <c r="F5" i="20" s="1"/>
  <c r="U58" i="1"/>
  <c r="J5" i="20" s="1"/>
  <c r="N64" i="1"/>
  <c r="N60" i="1"/>
  <c r="O62" i="1"/>
  <c r="P64" i="1"/>
  <c r="P60" i="1"/>
  <c r="Q62" i="1"/>
  <c r="R64" i="1"/>
  <c r="R60" i="1"/>
  <c r="S62" i="1"/>
  <c r="T64" i="1"/>
  <c r="T60" i="1"/>
  <c r="U62" i="1"/>
  <c r="V64" i="1"/>
  <c r="V60" i="1"/>
  <c r="N66" i="1"/>
  <c r="N65" i="1" s="1"/>
  <c r="C10" i="20" s="1"/>
  <c r="R66" i="1"/>
  <c r="V66" i="1"/>
  <c r="O29" i="1"/>
  <c r="O28" i="1" s="1"/>
  <c r="D9" i="20" s="1"/>
  <c r="S29" i="1"/>
  <c r="S28" i="1" s="1"/>
  <c r="H9" i="20" s="1"/>
  <c r="G9" i="18" s="1"/>
  <c r="H9" i="18" s="1"/>
  <c r="M28" i="1"/>
  <c r="O45" i="1"/>
  <c r="O40" i="1"/>
  <c r="S39" i="1"/>
  <c r="M38" i="1"/>
  <c r="P42" i="1"/>
  <c r="Q43" i="1"/>
  <c r="R44" i="1"/>
  <c r="S45" i="1"/>
  <c r="S40" i="1"/>
  <c r="T42" i="1"/>
  <c r="U43" i="1"/>
  <c r="V44" i="1"/>
  <c r="Q47" i="1"/>
  <c r="U47" i="1"/>
  <c r="N51" i="1"/>
  <c r="O52" i="1"/>
  <c r="O48" i="1"/>
  <c r="P49" i="1"/>
  <c r="Q50" i="1"/>
  <c r="R51" i="1"/>
  <c r="S52" i="1"/>
  <c r="S48" i="1"/>
  <c r="T49" i="1"/>
  <c r="U50" i="1"/>
  <c r="V51" i="1"/>
  <c r="R58" i="1"/>
  <c r="V58" i="1"/>
  <c r="O66" i="1"/>
  <c r="S66" i="1"/>
  <c r="M65" i="1"/>
  <c r="P29" i="1"/>
  <c r="P28" i="1" s="1"/>
  <c r="E9" i="20" s="1"/>
  <c r="D9" i="18" s="1"/>
  <c r="E9" i="18" s="1"/>
  <c r="T29" i="1"/>
  <c r="T28" i="1" s="1"/>
  <c r="I9" i="20" s="1"/>
  <c r="N45" i="1"/>
  <c r="G65" i="1"/>
  <c r="D28" i="1"/>
  <c r="J28" i="1"/>
  <c r="F28" i="1"/>
  <c r="L38" i="1"/>
  <c r="H38" i="1"/>
  <c r="D57" i="1"/>
  <c r="L57" i="1"/>
  <c r="H57" i="1"/>
  <c r="D65" i="1"/>
  <c r="J65" i="1"/>
  <c r="F65" i="1"/>
  <c r="V29" i="1"/>
  <c r="V28" i="1" s="1"/>
  <c r="K9" i="20" s="1"/>
  <c r="R29" i="1"/>
  <c r="S58" i="1"/>
  <c r="O58" i="1"/>
  <c r="U66" i="1"/>
  <c r="Q66" i="1"/>
  <c r="I28" i="1"/>
  <c r="E28" i="1"/>
  <c r="K38" i="1"/>
  <c r="G38" i="1"/>
  <c r="K57" i="1"/>
  <c r="G57" i="1"/>
  <c r="I65" i="1"/>
  <c r="E65" i="1"/>
  <c r="U29" i="1"/>
  <c r="U28" i="1" s="1"/>
  <c r="J9" i="20" s="1"/>
  <c r="Q29" i="1"/>
  <c r="Q28" i="1" s="1"/>
  <c r="F9" i="20" s="1"/>
  <c r="D38" i="1"/>
  <c r="J38" i="1"/>
  <c r="F38" i="1"/>
  <c r="J57" i="1"/>
  <c r="F57" i="1"/>
  <c r="L65" i="1"/>
  <c r="H65" i="1"/>
  <c r="I38" i="1"/>
  <c r="E38" i="1"/>
  <c r="R8" i="1"/>
  <c r="U9" i="1"/>
  <c r="U7" i="1"/>
  <c r="V7" i="1"/>
  <c r="F5" i="1"/>
  <c r="P10" i="1"/>
  <c r="D13" i="18" s="1"/>
  <c r="Q9" i="1"/>
  <c r="T10" i="1"/>
  <c r="V8" i="1"/>
  <c r="M5" i="1"/>
  <c r="M11" i="1"/>
  <c r="G5" i="1"/>
  <c r="H5" i="1"/>
  <c r="U11" i="1"/>
  <c r="Q11" i="1"/>
  <c r="J5" i="1"/>
  <c r="U8" i="1"/>
  <c r="K5" i="1"/>
  <c r="E5" i="1"/>
  <c r="I5" i="1"/>
  <c r="O9" i="1"/>
  <c r="P8" i="1"/>
  <c r="S9" i="1"/>
  <c r="G12" i="18" s="1"/>
  <c r="H12" i="18" s="1"/>
  <c r="T8" i="1"/>
  <c r="V10" i="1"/>
  <c r="F11" i="1"/>
  <c r="J11" i="1"/>
  <c r="L11" i="1"/>
  <c r="R10" i="1"/>
  <c r="R5" i="1" s="1"/>
  <c r="I11" i="1"/>
  <c r="S12" i="1"/>
  <c r="G11" i="1"/>
  <c r="K11" i="1"/>
  <c r="H11" i="1"/>
  <c r="E11" i="1"/>
  <c r="O12" i="1"/>
  <c r="C11" i="20"/>
  <c r="N12" i="1"/>
  <c r="R12" i="1"/>
  <c r="V12" i="1"/>
  <c r="D5" i="1"/>
  <c r="T12" i="1"/>
  <c r="P12" i="1"/>
  <c r="D11" i="1"/>
  <c r="U65" i="1" l="1"/>
  <c r="J10" i="20" s="1"/>
  <c r="O65" i="1"/>
  <c r="D10" i="20" s="1"/>
  <c r="J8" i="20"/>
  <c r="H8" i="20"/>
  <c r="G8" i="18" s="1"/>
  <c r="H8" i="18" s="1"/>
  <c r="V65" i="1"/>
  <c r="K10" i="20" s="1"/>
  <c r="T65" i="1"/>
  <c r="I10" i="20" s="1"/>
  <c r="Q5" i="1"/>
  <c r="J11" i="20"/>
  <c r="E11" i="18"/>
  <c r="E11" i="20"/>
  <c r="P5" i="1"/>
  <c r="D8" i="20"/>
  <c r="N57" i="1"/>
  <c r="S65" i="1"/>
  <c r="H10" i="20" s="1"/>
  <c r="G10" i="18" s="1"/>
  <c r="H10" i="18" s="1"/>
  <c r="R28" i="1"/>
  <c r="G9" i="20" s="1"/>
  <c r="Q38" i="1"/>
  <c r="F6" i="20" s="1"/>
  <c r="K8" i="20"/>
  <c r="E8" i="20"/>
  <c r="D8" i="18" s="1"/>
  <c r="E8" i="18" s="1"/>
  <c r="E103" i="1"/>
  <c r="L103" i="1"/>
  <c r="R65" i="1"/>
  <c r="G10" i="20" s="1"/>
  <c r="G8" i="20"/>
  <c r="V38" i="1"/>
  <c r="K6" i="20" s="1"/>
  <c r="I103" i="1"/>
  <c r="S57" i="1"/>
  <c r="Q65" i="1"/>
  <c r="F10" i="20" s="1"/>
  <c r="O38" i="1"/>
  <c r="D6" i="20" s="1"/>
  <c r="I8" i="20"/>
  <c r="F8" i="20"/>
  <c r="C8" i="20"/>
  <c r="P38" i="1"/>
  <c r="E6" i="20" s="1"/>
  <c r="D6" i="18" s="1"/>
  <c r="T38" i="1"/>
  <c r="I6" i="20" s="1"/>
  <c r="U38" i="1"/>
  <c r="J6" i="20" s="1"/>
  <c r="J21" i="20" s="1"/>
  <c r="F103" i="1"/>
  <c r="M103" i="1"/>
  <c r="N38" i="1"/>
  <c r="C6" i="20" s="1"/>
  <c r="V57" i="1"/>
  <c r="S38" i="1"/>
  <c r="H6" i="20" s="1"/>
  <c r="G6" i="18" s="1"/>
  <c r="H6" i="18" s="1"/>
  <c r="P57" i="1"/>
  <c r="R38" i="1"/>
  <c r="G6" i="20" s="1"/>
  <c r="H103" i="1"/>
  <c r="O57" i="1"/>
  <c r="R57" i="1"/>
  <c r="U57" i="1"/>
  <c r="T57" i="1"/>
  <c r="Q57" i="1"/>
  <c r="D103" i="1"/>
  <c r="K103" i="1"/>
  <c r="U5" i="1"/>
  <c r="J103" i="1"/>
  <c r="G103" i="1"/>
  <c r="K11" i="20"/>
  <c r="V5" i="1"/>
  <c r="F11" i="20"/>
  <c r="H5" i="20"/>
  <c r="S11" i="1"/>
  <c r="P11" i="1"/>
  <c r="E5" i="20"/>
  <c r="D5" i="18" s="1"/>
  <c r="C5" i="20"/>
  <c r="I5" i="20"/>
  <c r="T11" i="1"/>
  <c r="H11" i="20"/>
  <c r="S5" i="1"/>
  <c r="G11" i="18"/>
  <c r="H11" i="18" s="1"/>
  <c r="D5" i="20"/>
  <c r="O11" i="1"/>
  <c r="G11" i="20"/>
  <c r="T5" i="1"/>
  <c r="I11" i="20"/>
  <c r="V11" i="1"/>
  <c r="K5" i="20"/>
  <c r="D11" i="20"/>
  <c r="O5" i="1"/>
  <c r="R11" i="1"/>
  <c r="G5" i="20"/>
  <c r="N103" i="1" l="1"/>
  <c r="C4" i="16" s="1"/>
  <c r="Q103" i="1"/>
  <c r="C7" i="16" s="1"/>
  <c r="U103" i="1"/>
  <c r="C11" i="16" s="1"/>
  <c r="I21" i="20"/>
  <c r="P103" i="1"/>
  <c r="C6" i="16" s="1"/>
  <c r="G21" i="20"/>
  <c r="K21" i="20"/>
  <c r="V103" i="1"/>
  <c r="C12" i="16" s="1"/>
  <c r="C21" i="20"/>
  <c r="F21" i="20"/>
  <c r="E21" i="20"/>
  <c r="R103" i="1"/>
  <c r="C8" i="16" s="1"/>
  <c r="T103" i="1"/>
  <c r="C10" i="16" s="1"/>
  <c r="D21" i="20"/>
  <c r="O103" i="1"/>
  <c r="C5" i="16" s="1"/>
  <c r="G5" i="18"/>
  <c r="H21" i="20"/>
  <c r="S103" i="1"/>
  <c r="C9" i="16" s="1"/>
  <c r="E5" i="18"/>
  <c r="D28" i="18"/>
  <c r="E28" i="18" s="1"/>
  <c r="E6" i="18"/>
  <c r="D24" i="18"/>
  <c r="C15" i="16" l="1"/>
  <c r="H5" i="18"/>
  <c r="G28" i="18"/>
  <c r="H28" i="18" s="1"/>
  <c r="G24" i="18"/>
  <c r="D25" i="18"/>
  <c r="E24" i="18"/>
  <c r="G25" i="18" l="1"/>
  <c r="H24" i="18"/>
</calcChain>
</file>

<file path=xl/comments1.xml><?xml version="1.0" encoding="utf-8"?>
<comments xmlns="http://schemas.openxmlformats.org/spreadsheetml/2006/main">
  <authors>
    <author>Author</author>
  </authors>
  <commentList>
    <comment ref="C32" authorId="0" shapeId="0">
      <text>
        <r>
          <rPr>
            <b/>
            <sz val="9"/>
            <color indexed="81"/>
            <rFont val="Tahoma"/>
            <charset val="1"/>
          </rPr>
          <t xml:space="preserve">Author:
</t>
        </r>
      </text>
    </comment>
  </commentList>
</comments>
</file>

<file path=xl/comments2.xml><?xml version="1.0" encoding="utf-8"?>
<comments xmlns="http://schemas.openxmlformats.org/spreadsheetml/2006/main">
  <authors>
    <author>Author</author>
  </authors>
  <commentList>
    <comment ref="A32" authorId="0" shapeId="0">
      <text>
        <r>
          <rPr>
            <b/>
            <sz val="9"/>
            <color indexed="81"/>
            <rFont val="Tahoma"/>
            <family val="2"/>
          </rPr>
          <t>Author:</t>
        </r>
        <r>
          <rPr>
            <sz val="9"/>
            <color indexed="81"/>
            <rFont val="Tahoma"/>
            <family val="2"/>
          </rPr>
          <t xml:space="preserve">
lubricant consumption in coal mining activities. The emissions are included within IPCC sector code 2D1(lubricant consumption in manufacturing activities)</t>
        </r>
      </text>
    </comment>
  </commentList>
</comments>
</file>

<file path=xl/sharedStrings.xml><?xml version="1.0" encoding="utf-8"?>
<sst xmlns="http://schemas.openxmlformats.org/spreadsheetml/2006/main" count="667" uniqueCount="329">
  <si>
    <t>1A2: Manufacturing Industries and Construction^^</t>
  </si>
  <si>
    <t>2A Mineral Industry</t>
  </si>
  <si>
    <t>Sector/Subsector - as per IPCC, 2006 classification</t>
  </si>
  <si>
    <t>Industry Process and Product Use (IPPU)</t>
  </si>
  <si>
    <t>1A1b</t>
  </si>
  <si>
    <t>1A1c</t>
  </si>
  <si>
    <t>1A1ci</t>
  </si>
  <si>
    <t>1A1cii</t>
  </si>
  <si>
    <t>1A2a</t>
  </si>
  <si>
    <t>1A2b</t>
  </si>
  <si>
    <t>1A2c</t>
  </si>
  <si>
    <t>1A2</t>
  </si>
  <si>
    <t>1A2d</t>
  </si>
  <si>
    <t>1A2e</t>
  </si>
  <si>
    <t>1A2f</t>
  </si>
  <si>
    <t>1A2g</t>
  </si>
  <si>
    <t>1A2h</t>
  </si>
  <si>
    <t>1A2i</t>
  </si>
  <si>
    <t>1A2j</t>
  </si>
  <si>
    <t>1A2k</t>
  </si>
  <si>
    <t>1A2l</t>
  </si>
  <si>
    <t>1A2m</t>
  </si>
  <si>
    <t>Petroleum refining</t>
  </si>
  <si>
    <t>Manufacture of Solid Fuels and other Energy Industries</t>
  </si>
  <si>
    <t>Manufacture of Solid Fuel</t>
  </si>
  <si>
    <t>Iron and Steel</t>
  </si>
  <si>
    <t>Non-Ferrous Metals</t>
  </si>
  <si>
    <t>chemicals</t>
  </si>
  <si>
    <t>Pulp, Paper and Print</t>
  </si>
  <si>
    <t>Food Processing, Beverages and Tobacco</t>
  </si>
  <si>
    <t>non-metallic minerals</t>
  </si>
  <si>
    <t>Non-specified Industry</t>
  </si>
  <si>
    <t>Textile and Leather</t>
  </si>
  <si>
    <t>Construction</t>
  </si>
  <si>
    <t>Wood and Wood Products</t>
  </si>
  <si>
    <t>Mining (excluding fuels) and Quarrying</t>
  </si>
  <si>
    <t>Transport Equipment</t>
  </si>
  <si>
    <t>Machinery</t>
  </si>
  <si>
    <t>2A1</t>
  </si>
  <si>
    <t>2A2</t>
  </si>
  <si>
    <t>2A3</t>
  </si>
  <si>
    <t>2A4a</t>
  </si>
  <si>
    <t>2A4b</t>
  </si>
  <si>
    <t>2A4c</t>
  </si>
  <si>
    <t>2A4d</t>
  </si>
  <si>
    <t>2B8a</t>
  </si>
  <si>
    <t>2B8b</t>
  </si>
  <si>
    <t>2B8c</t>
  </si>
  <si>
    <t>2B8d</t>
  </si>
  <si>
    <t>2B8e</t>
  </si>
  <si>
    <t>2B8f</t>
  </si>
  <si>
    <t>2B9a</t>
  </si>
  <si>
    <t>2B9b</t>
  </si>
  <si>
    <t>2B10</t>
  </si>
  <si>
    <t>2E1:</t>
  </si>
  <si>
    <t>2E2:</t>
  </si>
  <si>
    <t>2E3:</t>
  </si>
  <si>
    <t>2E4:</t>
  </si>
  <si>
    <t>2E5:</t>
  </si>
  <si>
    <t>2F1a</t>
  </si>
  <si>
    <t>2F1b</t>
  </si>
  <si>
    <t>2G1a</t>
  </si>
  <si>
    <t>2G1b</t>
  </si>
  <si>
    <t>2G1c</t>
  </si>
  <si>
    <t>2G2a</t>
  </si>
  <si>
    <t>2G2b</t>
  </si>
  <si>
    <t>2G2c</t>
  </si>
  <si>
    <t>2G3a</t>
  </si>
  <si>
    <t>2G3b</t>
  </si>
  <si>
    <t>2G3c</t>
  </si>
  <si>
    <t xml:space="preserve">2H1 </t>
  </si>
  <si>
    <t xml:space="preserve">2H2 </t>
  </si>
  <si>
    <t xml:space="preserve">2H3 </t>
  </si>
  <si>
    <t>2A4</t>
  </si>
  <si>
    <t>2A5</t>
  </si>
  <si>
    <t>2B1</t>
  </si>
  <si>
    <t>2B2</t>
  </si>
  <si>
    <t>2B3</t>
  </si>
  <si>
    <t>2B4</t>
  </si>
  <si>
    <t>2B5</t>
  </si>
  <si>
    <t>2B6</t>
  </si>
  <si>
    <t>2B7</t>
  </si>
  <si>
    <t>2B8</t>
  </si>
  <si>
    <t>2B9</t>
  </si>
  <si>
    <t>2C1</t>
  </si>
  <si>
    <t>2C2</t>
  </si>
  <si>
    <t>2C3</t>
  </si>
  <si>
    <t>2C4</t>
  </si>
  <si>
    <t>2C5</t>
  </si>
  <si>
    <t>2C6</t>
  </si>
  <si>
    <t>2C7</t>
  </si>
  <si>
    <t>2D1</t>
  </si>
  <si>
    <t>2D2</t>
  </si>
  <si>
    <t>2D3</t>
  </si>
  <si>
    <t>2D4</t>
  </si>
  <si>
    <t>2F1</t>
  </si>
  <si>
    <t>2F2</t>
  </si>
  <si>
    <t>2F3</t>
  </si>
  <si>
    <t>2F4</t>
  </si>
  <si>
    <t>2F5</t>
  </si>
  <si>
    <t>2F6</t>
  </si>
  <si>
    <t>2G1</t>
  </si>
  <si>
    <t>2G2</t>
  </si>
  <si>
    <t>2G3</t>
  </si>
  <si>
    <t>2G4</t>
  </si>
  <si>
    <t>2B</t>
  </si>
  <si>
    <t>2A</t>
  </si>
  <si>
    <t>2C</t>
  </si>
  <si>
    <t>2D</t>
  </si>
  <si>
    <t>2E</t>
  </si>
  <si>
    <t>2F</t>
  </si>
  <si>
    <t>2G</t>
  </si>
  <si>
    <t>2H</t>
  </si>
  <si>
    <t>Cement Production</t>
  </si>
  <si>
    <t>Lime Production</t>
  </si>
  <si>
    <t>Glass Production</t>
  </si>
  <si>
    <t>Other Process Uses of Carbotes</t>
  </si>
  <si>
    <t>Other</t>
  </si>
  <si>
    <t>Ceramics</t>
  </si>
  <si>
    <t>Other Uses of Soda Ash</t>
  </si>
  <si>
    <t>Non Metallurgical Magnesia Production</t>
  </si>
  <si>
    <t>Chemical Industry</t>
  </si>
  <si>
    <t>Ammonia Production</t>
  </si>
  <si>
    <t>Nitric Acid Production</t>
  </si>
  <si>
    <t>Adipic Acid Production</t>
  </si>
  <si>
    <t>Caprolactam, Glyoxal and Glyoxylic Acid Production</t>
  </si>
  <si>
    <t>Carbide Production</t>
  </si>
  <si>
    <t>Titanium Dioxide Production</t>
  </si>
  <si>
    <t>Soda Ash Production</t>
  </si>
  <si>
    <t>Petrochemical and Carbon Black Production</t>
  </si>
  <si>
    <t>Methanol</t>
  </si>
  <si>
    <t>Ethylene</t>
  </si>
  <si>
    <t>Ethylene Dichloride and Vinyl Chloride Monomer</t>
  </si>
  <si>
    <t>Ethylene Oxide</t>
  </si>
  <si>
    <t>Acrylonitrile</t>
  </si>
  <si>
    <t>Carbon Black</t>
  </si>
  <si>
    <t>Fluorochemical Production</t>
  </si>
  <si>
    <t xml:space="preserve">By-product Emissions </t>
  </si>
  <si>
    <t>Fugitive Emissions</t>
  </si>
  <si>
    <t>Metal Industry</t>
  </si>
  <si>
    <t>Iron and Steel Production</t>
  </si>
  <si>
    <t>Ferroalloys Production</t>
  </si>
  <si>
    <t>Aluminium Production</t>
  </si>
  <si>
    <t xml:space="preserve">Magnesium Production </t>
  </si>
  <si>
    <t>Lead Production</t>
  </si>
  <si>
    <t>Zinc Production</t>
  </si>
  <si>
    <t>Non-Energy Products from Fuels and Solvent Use</t>
  </si>
  <si>
    <t>Lubricant Use</t>
  </si>
  <si>
    <t>Paraffin Wax Use</t>
  </si>
  <si>
    <t xml:space="preserve">Solvent Use </t>
  </si>
  <si>
    <t xml:space="preserve">Other </t>
  </si>
  <si>
    <t>Electronics Industry</t>
  </si>
  <si>
    <t>Integrated Circuit or Semiconductor</t>
  </si>
  <si>
    <t>TFT Flat Panel Display</t>
  </si>
  <si>
    <t>Photovoltaics</t>
  </si>
  <si>
    <t>Heat Transfer Fluid</t>
  </si>
  <si>
    <t>Product Uses as Substitutes for Ozone Depleting Substances</t>
  </si>
  <si>
    <t>Refrigeration and Air Conditioning</t>
  </si>
  <si>
    <t>Refrigeration and Statiory Air Conditioning</t>
  </si>
  <si>
    <t xml:space="preserve"> Mobile Air Conditioning</t>
  </si>
  <si>
    <t>Foam Blowing Agents</t>
  </si>
  <si>
    <t>Fire Protection</t>
  </si>
  <si>
    <t>Aerosols</t>
  </si>
  <si>
    <t>Solvents</t>
  </si>
  <si>
    <t>Other Applications</t>
  </si>
  <si>
    <t>Other Product Manufacture and Use</t>
  </si>
  <si>
    <t>Electrical Equipment</t>
  </si>
  <si>
    <t>Manufacture of Electrical Equipment</t>
  </si>
  <si>
    <t>Use of Electrical Equipment</t>
  </si>
  <si>
    <t>Disposal of Electrical Equipment</t>
  </si>
  <si>
    <t>SF6 and PFCs from Other Product Uses</t>
  </si>
  <si>
    <t>Military Applications</t>
  </si>
  <si>
    <t>Accelerators</t>
  </si>
  <si>
    <t>N2O from Product Uses</t>
  </si>
  <si>
    <t>Medical Applications</t>
  </si>
  <si>
    <t>Propellant for pressure and aerosol products</t>
  </si>
  <si>
    <t xml:space="preserve">Pulp and Paper Industry </t>
  </si>
  <si>
    <t>Food and Beverages Industry</t>
  </si>
  <si>
    <t>1A1a</t>
  </si>
  <si>
    <t>Main Activity Electricity and Heat production (utility + captive)</t>
  </si>
  <si>
    <t>Fuel Combustion Activities &gt; Energy industries</t>
  </si>
  <si>
    <t>1A1</t>
  </si>
  <si>
    <t>1A3</t>
  </si>
  <si>
    <t>1A4</t>
  </si>
  <si>
    <t>1A5</t>
  </si>
  <si>
    <t>Transport</t>
  </si>
  <si>
    <t>other sectors</t>
  </si>
  <si>
    <t>Non-specified</t>
  </si>
  <si>
    <t>IPCC codes</t>
  </si>
  <si>
    <t>TOTAL IPPU + Energy (for Mfg); excluding electricity</t>
  </si>
  <si>
    <t>Grand Total</t>
  </si>
  <si>
    <t>CO2e ('000T)</t>
  </si>
  <si>
    <t>2012-13</t>
  </si>
  <si>
    <t>2007-08</t>
  </si>
  <si>
    <t>2006-07</t>
  </si>
  <si>
    <t>Year</t>
  </si>
  <si>
    <t>Total</t>
  </si>
  <si>
    <t>IPCC Codes</t>
  </si>
  <si>
    <t>2009-10</t>
  </si>
  <si>
    <t>2010-11</t>
  </si>
  <si>
    <t>2008-09</t>
  </si>
  <si>
    <t>2011-12</t>
  </si>
  <si>
    <t xml:space="preserve">IBM Data 2010 </t>
  </si>
  <si>
    <t>NE</t>
  </si>
  <si>
    <t>Financial Years</t>
  </si>
  <si>
    <t>CAGR</t>
  </si>
  <si>
    <t>Calendar Years</t>
  </si>
  <si>
    <t>Consolidated Comparison</t>
  </si>
  <si>
    <t>Sl no</t>
  </si>
  <si>
    <t>Sector Descriptions</t>
  </si>
  <si>
    <t>Iron &amp; Steel</t>
  </si>
  <si>
    <t>Chemicals</t>
  </si>
  <si>
    <t>Ferro Alloys</t>
  </si>
  <si>
    <t>Non-metallic minerals</t>
  </si>
  <si>
    <t>Non-Energy products from fuels</t>
  </si>
  <si>
    <t>Mining</t>
  </si>
  <si>
    <t>Food &amp; Beverages</t>
  </si>
  <si>
    <t>Pulp, paper and Print</t>
  </si>
  <si>
    <t>Wood &amp; wood products</t>
  </si>
  <si>
    <t>Manufacturing n.e.c (jewellery, sports and musical instruments)</t>
  </si>
  <si>
    <t>Total Emissions</t>
  </si>
  <si>
    <t>Data Sources Used for Emission Estimation</t>
  </si>
  <si>
    <t>ASI Data</t>
  </si>
  <si>
    <t>Cement Manufacturing Asssociation</t>
  </si>
  <si>
    <t>IBM Data 2009</t>
  </si>
  <si>
    <t>IBM Data 2011</t>
  </si>
  <si>
    <t>IBM Data 2012</t>
  </si>
  <si>
    <t>Chemicals and Petrochemicals statistics 2014 (Ministry of chemicals and fertilizers)</t>
  </si>
  <si>
    <t>Aluminium MCX India</t>
  </si>
  <si>
    <t>IBM mineral yearbook 2012</t>
  </si>
  <si>
    <t>IBM mineral yearbook 2013</t>
  </si>
  <si>
    <t>IBM Data</t>
  </si>
  <si>
    <t>Beyond current scope</t>
  </si>
  <si>
    <t>% difference</t>
  </si>
  <si>
    <t>Mining^, #</t>
  </si>
  <si>
    <t>#</t>
  </si>
  <si>
    <t>Construction #</t>
  </si>
  <si>
    <t>Non specific industries</t>
  </si>
  <si>
    <t>Grand Total (Energy + IPPU)</t>
  </si>
  <si>
    <t>difference level</t>
  </si>
  <si>
    <t>Combined reporting by Iron &amp; Steel, Ferroalloys, &amp; solid fuels</t>
  </si>
  <si>
    <t>The ASI dataset is not available in its entirety</t>
  </si>
  <si>
    <t>^</t>
  </si>
  <si>
    <t>ASI dataset represents non-fuel mining at large.</t>
  </si>
  <si>
    <t>*</t>
  </si>
  <si>
    <t>1. Rubber</t>
  </si>
  <si>
    <t>2. Plastic</t>
  </si>
  <si>
    <t>3. Medical instruments and appliances</t>
  </si>
  <si>
    <t>4. Optical instruments and appliances</t>
  </si>
  <si>
    <t>5. Watches and clocks manufacturing</t>
  </si>
  <si>
    <t>6. Furniture</t>
  </si>
  <si>
    <t>7. Sports goods , musical instruments etc.</t>
  </si>
  <si>
    <t xml:space="preserve">Manufacturing n.e.c* </t>
  </si>
  <si>
    <t>Manufacturing n.e.c includes Industries:</t>
  </si>
  <si>
    <t>Tab</t>
  </si>
  <si>
    <t>GHG Emissions as per IPCC format (financial year as well as calender year format)</t>
  </si>
  <si>
    <t>Trendline for CEEW estimates on GHG emissions</t>
  </si>
  <si>
    <t>GHG emissions (energy use) at IPCC classification system</t>
  </si>
  <si>
    <t>GHG emissions (IPPU) at IPCC classification system</t>
  </si>
  <si>
    <t>Activity data sources</t>
  </si>
  <si>
    <t>Manufacturing of solid fuels</t>
  </si>
  <si>
    <t xml:space="preserve">Refining </t>
  </si>
  <si>
    <t>Description</t>
  </si>
  <si>
    <t>Sub-sector level variation between CEEW and national estimates (INCCA and BUR)</t>
  </si>
  <si>
    <t>N.R</t>
  </si>
  <si>
    <t>N/A</t>
  </si>
  <si>
    <t>Not reported</t>
  </si>
  <si>
    <t>Not applicable. CEEW does not have any non-specified industry classification (all industries are accounted as per national industries classification system)</t>
  </si>
  <si>
    <t>Beyond our current scope</t>
  </si>
  <si>
    <t>Not reported production data in public domain</t>
  </si>
  <si>
    <t>ASI Data- Ministry of chemicals and fertilizers</t>
  </si>
  <si>
    <t>INCCA (million tonnes)</t>
  </si>
  <si>
    <t>BUR (million tonnes)</t>
  </si>
  <si>
    <t>CO2e (million tonnes)</t>
  </si>
  <si>
    <t>INCAA 2007 (million tonnes)</t>
  </si>
  <si>
    <t>CEEW 2007 (million tonnes)</t>
  </si>
  <si>
    <t>BUR 2010 (million tonnes)</t>
  </si>
  <si>
    <t>CEEW 2010 (million tonnes)</t>
  </si>
  <si>
    <t>Table 1: GHG Emissions as per IPCC format (financial year as well as calender year format)</t>
  </si>
  <si>
    <t>Table 2: Consolidated comparison of emissions of CEEW estimates from 2007 to 2012</t>
  </si>
  <si>
    <t>Table 4: Sub-sector level variation between CEEW and national estimates (INCCA and BUR)</t>
  </si>
  <si>
    <t>Table 5: Trendline for CEEW estimates on GHG emissions</t>
  </si>
  <si>
    <t>Table 6: GHG emissions (energy use) at IPCC classification system</t>
  </si>
  <si>
    <t>Table 7: GHG emissions (IPPU) at IPCC classification system</t>
  </si>
  <si>
    <t>GHG Emissions</t>
  </si>
  <si>
    <t>CEEW GHG Emissions (million tonnes)</t>
  </si>
  <si>
    <t>GHG Emissions (CO2eq,T)</t>
  </si>
  <si>
    <t>2013-14</t>
  </si>
  <si>
    <t>2004-05</t>
  </si>
  <si>
    <t>2005-06</t>
  </si>
  <si>
    <t>Sector</t>
  </si>
  <si>
    <t>Version</t>
  </si>
  <si>
    <t>Time Series</t>
  </si>
  <si>
    <t>Level of Disaggregation</t>
  </si>
  <si>
    <t>About GHG Platform</t>
  </si>
  <si>
    <t>Contact Details</t>
  </si>
  <si>
    <t>Usage Policy</t>
  </si>
  <si>
    <t>Citation</t>
  </si>
  <si>
    <t>Disclaimer</t>
  </si>
  <si>
    <t>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t>
  </si>
  <si>
    <t>Specfic fuel consumption CIL annual reports, MoPNG</t>
  </si>
  <si>
    <t>CO2eq</t>
  </si>
  <si>
    <t>IBM mineral yearbook 2014</t>
  </si>
  <si>
    <t>USGS</t>
  </si>
  <si>
    <t>Consolidated comparison of emissions of CEEW estimates from 2005 to 2013</t>
  </si>
  <si>
    <t>Year-on-year emissions chart for consolidated sectors from 2005 to 2013</t>
  </si>
  <si>
    <t>Table 8: Activity data sources</t>
  </si>
  <si>
    <t>Refining + manufacture of solid fuels, Other energy Industry</t>
  </si>
  <si>
    <t>Other Energy Industry</t>
  </si>
  <si>
    <t>1A2: Manufacturing Industries and Construction</t>
  </si>
  <si>
    <t>Other Energy industry @</t>
  </si>
  <si>
    <t>@</t>
  </si>
  <si>
    <t>The sector includes emissions due to fuel mining and oil &amp; gas extraction</t>
  </si>
  <si>
    <t>Lubricant use in Coal Mining</t>
  </si>
  <si>
    <t>2005 to 2013</t>
  </si>
  <si>
    <t>National level data</t>
  </si>
  <si>
    <t>Sub-sector Disaggregation</t>
  </si>
  <si>
    <t>Sector Description</t>
  </si>
  <si>
    <t xml:space="preserve">Manufacturing contribute approximately one fourth of India’s total GHG emissions. Manufacturing sector emissions have been developed using a systematic approach of assessing a wide range of energy consumption, industrial process, and product use from approximately two million industrial units per year.
The emissions have been estimated as per the IPCC classification for manufacturing industries. The data trend, disaggregated at the sub-sector level could inform policymakers and industries to improve energy efficiency and emission intensity. Emissions related to captive power generation is already accounted somewhere else (Refer: Energy and electricity sector estimates at http://ghgplatform-india.org), and hence not been accounted to avoid any duplication.
</t>
  </si>
  <si>
    <t xml:space="preserve">The GHG Platform India is a collective Indian civil-society initiative providing an independent sector and economy wide estimation and analysis of India’s greenhouse gas (GHG) emissions from 2005 to 2013.  The platform comprises of eminent organisations namely, Council on Energy, Environment and Water, Center for Study of Science, Technology and Policy (CSTEP), ICLEI South Asia, Shakti Sustainable Energy Foundation, Vasudha Foundation and WRI-India.  </t>
  </si>
  <si>
    <t>Lead Institution</t>
  </si>
  <si>
    <t>Council on Energy, Environment and Water (CEEW)</t>
  </si>
  <si>
    <t>vaibhav.gupta@ceew.in; info@ghgplatform-india.org</t>
  </si>
  <si>
    <t xml:space="preserve">Gupta, V., Biswas, T.,Ganesan, K. (2017). Industrial Emissions. Version 3.0 dated April 04, 2017, from GHG platform India: GHG platform India-2005-2013 National Estimates - 2017 Series http://ghgplatform-india.org/data-and-emissions/industry.html
In instances where this sheet is used along with any other sector sheet on this website, the suggested citation is “GHG platform India 2005-2013 National Estimates - 2017 Series” </t>
  </si>
  <si>
    <t>Energy Use emissions</t>
  </si>
  <si>
    <r>
      <t>Consolidated reporting on Green-house gases emission estimates due to</t>
    </r>
    <r>
      <rPr>
        <b/>
        <sz val="15"/>
        <color theme="1"/>
        <rFont val="Times New Roman"/>
        <family val="1"/>
      </rPr>
      <t xml:space="preserve"> Energy Use as well as IPPU.</t>
    </r>
  </si>
  <si>
    <t>Manufacturing Sector</t>
  </si>
  <si>
    <t xml:space="preserve"> Any re-production or re-distribution of the material(s) and information displayed and published on this Website/GHG Platform India/Portal shall be accompanied by appropriate citation and due acknowledgment to the CEEW and the GHG Platform India for such material(s) and information.
You must give appropriate credit, provide a link, and indicate if changes were made. You may do so in any reasonable manner, but not in any way that suggests the GHG Plaform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t>
  </si>
  <si>
    <t>4.0 Posted on 07.12.17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</si>
</sst>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_ ;[Red]\-0\ "/>
    <numFmt numFmtId="168" formatCode="0.00_ ;[Red]\-0.00\ "/>
  </numFmts>
  <fonts count="30" x14ac:knownFonts="1">
    <font>
      <sz val="11"/>
      <color theme="1"/>
      <name val="Calibri"/>
      <family val="2"/>
      <scheme val="minor"/>
    </font>
    <font>
      <sz val="10"/>
      <name val="Arial"/>
      <family val="2"/>
    </font>
    <font>
      <u/>
      <sz val="11"/>
      <color theme="10"/>
      <name val="Calibri"/>
      <family val="2"/>
      <scheme val="minor"/>
    </font>
    <font>
      <sz val="11"/>
      <color theme="1"/>
      <name val="Calibri"/>
      <family val="2"/>
      <scheme val="minor"/>
    </font>
    <font>
      <u/>
      <sz val="11"/>
      <color theme="11"/>
      <name val="Calibri"/>
      <family val="2"/>
      <scheme val="minor"/>
    </font>
    <font>
      <sz val="8"/>
      <name val="Calibri"/>
      <family val="2"/>
      <scheme val="minor"/>
    </font>
    <font>
      <sz val="15"/>
      <color theme="1"/>
      <name val="Times New Roman"/>
      <family val="1"/>
    </font>
    <font>
      <b/>
      <sz val="15"/>
      <name val="Times New Roman"/>
      <family val="1"/>
    </font>
    <font>
      <b/>
      <sz val="15"/>
      <color theme="1"/>
      <name val="Times New Roman"/>
      <family val="1"/>
    </font>
    <font>
      <sz val="15"/>
      <name val="Times New Roman"/>
      <family val="1"/>
    </font>
    <font>
      <b/>
      <i/>
      <sz val="12"/>
      <color rgb="FFFF0000"/>
      <name val="Times New Roman"/>
      <family val="1"/>
    </font>
    <font>
      <sz val="11"/>
      <color theme="1"/>
      <name val="Times New Roman"/>
      <family val="1"/>
    </font>
    <font>
      <b/>
      <i/>
      <sz val="11"/>
      <color theme="1"/>
      <name val="Times New Roman"/>
      <family val="1"/>
    </font>
    <font>
      <b/>
      <sz val="11"/>
      <color theme="1"/>
      <name val="Times New Roman"/>
      <family val="1"/>
    </font>
    <font>
      <b/>
      <i/>
      <sz val="11"/>
      <color rgb="FFFF0000"/>
      <name val="Times New Roman"/>
      <family val="1"/>
    </font>
    <font>
      <i/>
      <sz val="11"/>
      <color theme="1"/>
      <name val="Times New Roman"/>
      <family val="1"/>
    </font>
    <font>
      <b/>
      <sz val="11"/>
      <name val="Times New Roman"/>
      <family val="1"/>
    </font>
    <font>
      <sz val="11"/>
      <name val="Times New Roman"/>
      <family val="1"/>
    </font>
    <font>
      <sz val="11"/>
      <color rgb="FFFF0000"/>
      <name val="Times New Roman"/>
      <family val="1"/>
    </font>
    <font>
      <b/>
      <sz val="11"/>
      <color rgb="FFFF0000"/>
      <name val="Times New Roman"/>
      <family val="1"/>
    </font>
    <font>
      <b/>
      <sz val="11"/>
      <color rgb="FF0070C0"/>
      <name val="Times New Roman"/>
      <family val="1"/>
    </font>
    <font>
      <i/>
      <sz val="10"/>
      <color theme="1"/>
      <name val="Times New Roman"/>
      <family val="1"/>
    </font>
    <font>
      <b/>
      <sz val="12"/>
      <color theme="1"/>
      <name val="Times New Roman"/>
      <family val="1"/>
    </font>
    <font>
      <u/>
      <sz val="11"/>
      <color theme="10"/>
      <name val="Times New Roman"/>
      <family val="1"/>
    </font>
    <font>
      <i/>
      <sz val="11"/>
      <color rgb="FFFF0000"/>
      <name val="Times New Roman"/>
      <family val="1"/>
    </font>
    <font>
      <u/>
      <sz val="12"/>
      <color theme="10"/>
      <name val="Calibri"/>
      <family val="2"/>
      <scheme val="minor"/>
    </font>
    <font>
      <u/>
      <sz val="16"/>
      <color theme="10"/>
      <name val="Calibri"/>
      <family val="2"/>
      <scheme val="minor"/>
    </font>
    <font>
      <sz val="9"/>
      <color indexed="81"/>
      <name val="Tahoma"/>
      <family val="2"/>
    </font>
    <font>
      <b/>
      <sz val="9"/>
      <color indexed="81"/>
      <name val="Tahoma"/>
      <family val="2"/>
    </font>
    <font>
      <b/>
      <sz val="9"/>
      <color indexed="81"/>
      <name val="Tahoma"/>
      <charset val="1"/>
    </font>
  </fonts>
  <fills count="1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3"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theme="6" tint="0.59999389629810485"/>
        <bgColor indexed="64"/>
      </patternFill>
    </fill>
  </fills>
  <borders count="35">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bottom style="dotted">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auto="1"/>
      </left>
      <right style="thin">
        <color theme="1"/>
      </right>
      <top style="medium">
        <color auto="1"/>
      </top>
      <bottom style="thin">
        <color theme="1"/>
      </bottom>
      <diagonal/>
    </border>
    <border>
      <left style="thin">
        <color theme="1"/>
      </left>
      <right style="medium">
        <color auto="1"/>
      </right>
      <top style="medium">
        <color auto="1"/>
      </top>
      <bottom style="thin">
        <color theme="1"/>
      </bottom>
      <diagonal/>
    </border>
    <border>
      <left/>
      <right style="thin">
        <color theme="0"/>
      </right>
      <top style="thin">
        <color theme="0"/>
      </top>
      <bottom style="thin">
        <color theme="0"/>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tted">
        <color auto="1"/>
      </left>
      <right style="dotted">
        <color auto="1"/>
      </right>
      <top style="dotted">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theme="1"/>
      </left>
      <right style="thin">
        <color auto="1"/>
      </right>
      <top style="medium">
        <color theme="1"/>
      </top>
      <bottom style="thin">
        <color theme="0"/>
      </bottom>
      <diagonal/>
    </border>
    <border>
      <left/>
      <right style="medium">
        <color theme="1"/>
      </right>
      <top style="medium">
        <color theme="1"/>
      </top>
      <bottom style="thin">
        <color auto="1"/>
      </bottom>
      <diagonal/>
    </border>
    <border>
      <left style="medium">
        <color theme="1"/>
      </left>
      <right style="thin">
        <color auto="1"/>
      </right>
      <top/>
      <bottom style="thin">
        <color auto="1"/>
      </bottom>
      <diagonal/>
    </border>
    <border>
      <left/>
      <right style="medium">
        <color theme="1"/>
      </right>
      <top style="thin">
        <color auto="1"/>
      </top>
      <bottom style="thin">
        <color auto="1"/>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right style="medium">
        <color theme="1"/>
      </right>
      <top style="thin">
        <color auto="1"/>
      </top>
      <bottom/>
      <diagonal/>
    </border>
    <border>
      <left style="medium">
        <color theme="1"/>
      </left>
      <right/>
      <top/>
      <bottom style="thin">
        <color auto="1"/>
      </bottom>
      <diagonal/>
    </border>
    <border>
      <left style="medium">
        <color indexed="64"/>
      </left>
      <right style="medium">
        <color indexed="64"/>
      </right>
      <top style="medium">
        <color indexed="64"/>
      </top>
      <bottom style="medium">
        <color indexed="64"/>
      </bottom>
      <diagonal/>
    </border>
    <border>
      <left style="medium">
        <color theme="1"/>
      </left>
      <right style="thin">
        <color auto="1"/>
      </right>
      <top/>
      <bottom style="medium">
        <color theme="1"/>
      </bottom>
      <diagonal/>
    </border>
    <border>
      <left style="thin">
        <color auto="1"/>
      </left>
      <right style="medium">
        <color theme="1"/>
      </right>
      <top style="thin">
        <color auto="1"/>
      </top>
      <bottom style="medium">
        <color theme="1"/>
      </bottom>
      <diagonal/>
    </border>
  </borders>
  <cellStyleXfs count="19">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64" fontId="3" fillId="0" borderId="0" applyFont="0" applyFill="0" applyBorder="0" applyAlignment="0" applyProtection="0"/>
    <xf numFmtId="0" fontId="25" fillId="0" borderId="0" applyNumberFormat="0" applyFill="0" applyBorder="0" applyAlignment="0" applyProtection="0"/>
  </cellStyleXfs>
  <cellXfs count="236">
    <xf numFmtId="0" fontId="0" fillId="0" borderId="0" xfId="0"/>
    <xf numFmtId="0" fontId="6" fillId="0" borderId="3" xfId="0" applyFont="1" applyBorder="1"/>
    <xf numFmtId="0" fontId="6" fillId="0" borderId="4" xfId="0" applyFont="1" applyBorder="1"/>
    <xf numFmtId="0" fontId="6" fillId="9" borderId="3" xfId="0" applyFont="1" applyFill="1" applyBorder="1"/>
    <xf numFmtId="0" fontId="6" fillId="9" borderId="0" xfId="0" applyFont="1" applyFill="1"/>
    <xf numFmtId="0" fontId="6" fillId="0" borderId="5" xfId="0" applyFont="1" applyBorder="1"/>
    <xf numFmtId="0" fontId="6" fillId="0" borderId="6" xfId="0" applyFont="1" applyBorder="1"/>
    <xf numFmtId="0" fontId="6" fillId="9" borderId="9" xfId="0" applyFont="1" applyFill="1" applyBorder="1"/>
    <xf numFmtId="0" fontId="10" fillId="9" borderId="0" xfId="0" applyFont="1" applyFill="1"/>
    <xf numFmtId="0" fontId="11" fillId="9" borderId="0" xfId="0" applyFont="1" applyFill="1"/>
    <xf numFmtId="0" fontId="11" fillId="9" borderId="0" xfId="0" applyFont="1" applyFill="1" applyAlignment="1">
      <alignment wrapText="1"/>
    </xf>
    <xf numFmtId="0" fontId="11" fillId="0" borderId="0" xfId="0" applyFont="1"/>
    <xf numFmtId="0" fontId="11" fillId="0" borderId="0" xfId="0" applyFont="1" applyAlignment="1">
      <alignment vertical="center"/>
    </xf>
    <xf numFmtId="0" fontId="11" fillId="2" borderId="1" xfId="0" applyFont="1" applyFill="1" applyBorder="1" applyAlignment="1">
      <alignment vertical="center"/>
    </xf>
    <xf numFmtId="0" fontId="13" fillId="2" borderId="1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xf>
    <xf numFmtId="0" fontId="11" fillId="9" borderId="0" xfId="0" applyFont="1" applyFill="1" applyAlignment="1">
      <alignment vertical="center"/>
    </xf>
    <xf numFmtId="0" fontId="12" fillId="2" borderId="1" xfId="0" applyFont="1" applyFill="1" applyBorder="1"/>
    <xf numFmtId="0" fontId="12" fillId="2" borderId="1" xfId="0" applyFont="1" applyFill="1" applyBorder="1" applyAlignment="1">
      <alignment wrapText="1"/>
    </xf>
    <xf numFmtId="0" fontId="13" fillId="3" borderId="1" xfId="0" applyFont="1" applyFill="1" applyBorder="1" applyAlignment="1">
      <alignment horizontal="center" vertical="center" wrapText="1"/>
    </xf>
    <xf numFmtId="0" fontId="13" fillId="3" borderId="1" xfId="0" applyFont="1" applyFill="1" applyBorder="1" applyAlignment="1">
      <alignment wrapText="1"/>
    </xf>
    <xf numFmtId="0" fontId="11" fillId="0" borderId="0" xfId="0" applyFont="1" applyFill="1"/>
    <xf numFmtId="0" fontId="11" fillId="0" borderId="1" xfId="0" applyFont="1" applyFill="1" applyBorder="1" applyAlignment="1">
      <alignment horizontal="left" vertical="center" wrapText="1"/>
    </xf>
    <xf numFmtId="0" fontId="11" fillId="0" borderId="1" xfId="0" applyFont="1" applyFill="1" applyBorder="1" applyAlignment="1">
      <alignment wrapText="1"/>
    </xf>
    <xf numFmtId="0" fontId="11" fillId="0" borderId="1" xfId="0" applyFont="1" applyFill="1" applyBorder="1" applyAlignment="1">
      <alignment horizontal="right" vertical="center" wrapText="1"/>
    </xf>
    <xf numFmtId="0" fontId="16" fillId="3" borderId="1" xfId="0" applyFont="1" applyFill="1" applyBorder="1" applyAlignment="1">
      <alignment wrapText="1"/>
    </xf>
    <xf numFmtId="0" fontId="17" fillId="0" borderId="1" xfId="0" applyFont="1" applyFill="1" applyBorder="1" applyAlignment="1">
      <alignment horizontal="left" vertical="center" wrapText="1"/>
    </xf>
    <xf numFmtId="0" fontId="17" fillId="0" borderId="1" xfId="0" applyFont="1" applyFill="1" applyBorder="1" applyAlignment="1">
      <alignment wrapText="1"/>
    </xf>
    <xf numFmtId="0" fontId="17" fillId="9" borderId="0" xfId="0" applyFont="1" applyFill="1"/>
    <xf numFmtId="0" fontId="17" fillId="0" borderId="0" xfId="0" applyFont="1" applyFill="1"/>
    <xf numFmtId="0" fontId="11" fillId="0" borderId="1" xfId="0" applyFont="1" applyBorder="1"/>
    <xf numFmtId="0" fontId="17" fillId="0" borderId="1" xfId="0" applyFont="1" applyBorder="1"/>
    <xf numFmtId="0" fontId="11" fillId="6" borderId="1" xfId="0" applyFont="1" applyFill="1" applyBorder="1" applyAlignment="1">
      <alignment horizontal="left" vertical="center" wrapText="1"/>
    </xf>
    <xf numFmtId="0" fontId="11" fillId="6" borderId="1" xfId="0" applyFont="1" applyFill="1" applyBorder="1"/>
    <xf numFmtId="0" fontId="13" fillId="3" borderId="1" xfId="0" applyFont="1" applyFill="1" applyBorder="1" applyAlignment="1">
      <alignment horizontal="center" vertical="top" wrapText="1"/>
    </xf>
    <xf numFmtId="0" fontId="11" fillId="0" borderId="1" xfId="0" applyFont="1" applyBorder="1" applyAlignment="1">
      <alignment horizontal="left" vertical="top" wrapText="1"/>
    </xf>
    <xf numFmtId="0" fontId="13" fillId="7" borderId="1" xfId="0" applyFont="1" applyFill="1" applyBorder="1" applyAlignment="1">
      <alignment wrapText="1"/>
    </xf>
    <xf numFmtId="0" fontId="11" fillId="0" borderId="1" xfId="0" applyFont="1" applyBorder="1" applyAlignment="1">
      <alignment wrapText="1"/>
    </xf>
    <xf numFmtId="0" fontId="13" fillId="4" borderId="1" xfId="0" applyFont="1" applyFill="1" applyBorder="1" applyAlignment="1">
      <alignment wrapText="1"/>
    </xf>
    <xf numFmtId="0" fontId="13" fillId="9" borderId="0" xfId="0" applyFont="1" applyFill="1"/>
    <xf numFmtId="0" fontId="13" fillId="0" borderId="0" xfId="0" applyFont="1" applyFill="1"/>
    <xf numFmtId="11" fontId="11" fillId="0" borderId="1" xfId="0" applyNumberFormat="1" applyFont="1" applyBorder="1" applyAlignment="1">
      <alignment horizontal="left" vertical="top" wrapText="1"/>
    </xf>
    <xf numFmtId="0" fontId="18" fillId="9" borderId="0" xfId="0" applyFont="1" applyFill="1" applyAlignment="1"/>
    <xf numFmtId="1" fontId="11" fillId="9" borderId="0" xfId="0" applyNumberFormat="1" applyFont="1" applyFill="1"/>
    <xf numFmtId="0" fontId="11" fillId="9" borderId="0" xfId="0" applyFont="1" applyFill="1" applyAlignment="1"/>
    <xf numFmtId="4" fontId="11" fillId="9" borderId="0" xfId="0" applyNumberFormat="1" applyFont="1" applyFill="1"/>
    <xf numFmtId="9" fontId="11" fillId="9" borderId="0" xfId="3" applyFont="1" applyFill="1"/>
    <xf numFmtId="0" fontId="11" fillId="9" borderId="0" xfId="0" applyFont="1" applyFill="1" applyBorder="1"/>
    <xf numFmtId="0" fontId="11" fillId="9" borderId="0" xfId="0" applyFont="1" applyFill="1" applyBorder="1" applyAlignment="1">
      <alignment wrapText="1"/>
    </xf>
    <xf numFmtId="9" fontId="11" fillId="9" borderId="0" xfId="3" applyFont="1" applyFill="1" applyBorder="1"/>
    <xf numFmtId="0" fontId="11" fillId="0" borderId="0" xfId="0" applyFont="1" applyAlignment="1">
      <alignment wrapText="1"/>
    </xf>
    <xf numFmtId="0" fontId="14" fillId="9" borderId="0" xfId="0" applyFont="1" applyFill="1" applyBorder="1" applyAlignment="1"/>
    <xf numFmtId="0" fontId="11" fillId="9" borderId="0" xfId="0" applyFont="1" applyFill="1" applyBorder="1" applyAlignment="1"/>
    <xf numFmtId="0" fontId="12" fillId="2" borderId="14" xfId="0" applyFont="1" applyFill="1" applyBorder="1" applyAlignment="1">
      <alignment horizontal="center" wrapText="1"/>
    </xf>
    <xf numFmtId="0" fontId="12" fillId="8" borderId="1" xfId="0" applyFont="1" applyFill="1" applyBorder="1" applyAlignment="1"/>
    <xf numFmtId="0" fontId="11" fillId="9" borderId="1" xfId="0" applyFont="1" applyFill="1" applyBorder="1" applyAlignment="1"/>
    <xf numFmtId="1" fontId="11" fillId="9" borderId="1" xfId="0" applyNumberFormat="1" applyFont="1" applyFill="1" applyBorder="1"/>
    <xf numFmtId="0" fontId="11" fillId="9" borderId="1" xfId="0" quotePrefix="1" applyFont="1" applyFill="1" applyBorder="1" applyAlignment="1"/>
    <xf numFmtId="1" fontId="12" fillId="13" borderId="1" xfId="0" applyNumberFormat="1" applyFont="1" applyFill="1" applyBorder="1"/>
    <xf numFmtId="0" fontId="12" fillId="9" borderId="0" xfId="0" applyFont="1" applyFill="1" applyAlignment="1"/>
    <xf numFmtId="9" fontId="18" fillId="9" borderId="0" xfId="3" applyFont="1" applyFill="1"/>
    <xf numFmtId="0" fontId="12" fillId="11" borderId="1" xfId="0" applyFont="1" applyFill="1" applyBorder="1"/>
    <xf numFmtId="0" fontId="15" fillId="9" borderId="1" xfId="0" applyFont="1" applyFill="1" applyBorder="1"/>
    <xf numFmtId="0" fontId="15" fillId="9" borderId="1" xfId="0" applyFont="1" applyFill="1" applyBorder="1" applyAlignment="1">
      <alignment wrapText="1"/>
    </xf>
    <xf numFmtId="0" fontId="14" fillId="9" borderId="0" xfId="0" applyFont="1" applyFill="1"/>
    <xf numFmtId="0" fontId="11" fillId="9" borderId="1" xfId="0" applyFont="1" applyFill="1" applyBorder="1" applyAlignment="1">
      <alignment horizontal="left" wrapText="1"/>
    </xf>
    <xf numFmtId="0" fontId="11" fillId="9" borderId="1" xfId="0" applyFont="1" applyFill="1" applyBorder="1" applyAlignment="1">
      <alignment horizontal="left" vertical="center" wrapText="1"/>
    </xf>
    <xf numFmtId="1" fontId="11" fillId="9" borderId="1" xfId="0" applyNumberFormat="1" applyFont="1" applyFill="1" applyBorder="1" applyAlignment="1">
      <alignment horizontal="right" vertical="center" wrapText="1"/>
    </xf>
    <xf numFmtId="9" fontId="19" fillId="9" borderId="1" xfId="3" applyFont="1" applyFill="1" applyBorder="1" applyAlignment="1">
      <alignment horizontal="right" vertical="center" wrapText="1"/>
    </xf>
    <xf numFmtId="9" fontId="19" fillId="9" borderId="1" xfId="3" applyFont="1" applyFill="1" applyBorder="1" applyAlignment="1">
      <alignment horizontal="right" vertical="center"/>
    </xf>
    <xf numFmtId="9" fontId="20" fillId="9" borderId="1" xfId="3" applyFont="1" applyFill="1" applyBorder="1" applyAlignment="1">
      <alignment horizontal="right" vertical="center" wrapText="1"/>
    </xf>
    <xf numFmtId="9" fontId="11" fillId="9" borderId="1" xfId="3" applyFont="1" applyFill="1" applyBorder="1" applyAlignment="1">
      <alignment horizontal="right" vertical="center"/>
    </xf>
    <xf numFmtId="9" fontId="11" fillId="9" borderId="1" xfId="3" applyFont="1" applyFill="1" applyBorder="1" applyAlignment="1">
      <alignment horizontal="right" vertical="center" wrapText="1"/>
    </xf>
    <xf numFmtId="1" fontId="18" fillId="9" borderId="1" xfId="0" applyNumberFormat="1" applyFont="1" applyFill="1" applyBorder="1" applyAlignment="1">
      <alignment horizontal="right" vertical="center" wrapText="1"/>
    </xf>
    <xf numFmtId="0" fontId="13" fillId="9" borderId="1" xfId="0" applyFont="1" applyFill="1" applyBorder="1" applyAlignment="1">
      <alignment horizontal="left" vertical="center" wrapText="1"/>
    </xf>
    <xf numFmtId="9" fontId="13" fillId="9" borderId="1" xfId="3" applyFont="1" applyFill="1" applyBorder="1" applyAlignment="1">
      <alignment horizontal="right" vertical="center" wrapText="1"/>
    </xf>
    <xf numFmtId="9" fontId="13" fillId="9" borderId="1" xfId="3" applyFont="1" applyFill="1" applyBorder="1" applyAlignment="1">
      <alignment horizontal="right" vertical="center"/>
    </xf>
    <xf numFmtId="1" fontId="17" fillId="9" borderId="1" xfId="0" applyNumberFormat="1" applyFont="1" applyFill="1" applyBorder="1" applyAlignment="1">
      <alignment horizontal="right" vertical="center" wrapText="1"/>
    </xf>
    <xf numFmtId="0" fontId="19" fillId="9" borderId="1" xfId="0" applyFont="1" applyFill="1" applyBorder="1" applyAlignment="1">
      <alignment horizontal="left" vertical="center" wrapText="1"/>
    </xf>
    <xf numFmtId="0" fontId="11" fillId="9" borderId="2" xfId="0" applyFont="1" applyFill="1" applyBorder="1" applyAlignment="1">
      <alignment horizontal="left" wrapText="1"/>
    </xf>
    <xf numFmtId="0" fontId="19" fillId="9" borderId="2" xfId="0" applyFont="1" applyFill="1" applyBorder="1" applyAlignment="1">
      <alignment horizontal="left" wrapText="1"/>
    </xf>
    <xf numFmtId="1" fontId="11" fillId="9" borderId="2" xfId="0" applyNumberFormat="1" applyFont="1" applyFill="1" applyBorder="1" applyAlignment="1">
      <alignment horizontal="right" wrapText="1"/>
    </xf>
    <xf numFmtId="9" fontId="19" fillId="9" borderId="2" xfId="3" applyFont="1" applyFill="1" applyBorder="1" applyAlignment="1">
      <alignment horizontal="right" wrapText="1"/>
    </xf>
    <xf numFmtId="1" fontId="19" fillId="9" borderId="2" xfId="0" applyNumberFormat="1" applyFont="1" applyFill="1" applyBorder="1" applyAlignment="1">
      <alignment horizontal="right" wrapText="1"/>
    </xf>
    <xf numFmtId="10" fontId="19" fillId="9" borderId="2" xfId="3" applyNumberFormat="1" applyFont="1" applyFill="1" applyBorder="1" applyAlignment="1">
      <alignment horizontal="right" wrapText="1"/>
    </xf>
    <xf numFmtId="0" fontId="11" fillId="9" borderId="2" xfId="0" applyFont="1" applyFill="1" applyBorder="1"/>
    <xf numFmtId="0" fontId="19" fillId="9" borderId="0" xfId="0" applyFont="1" applyFill="1" applyAlignment="1">
      <alignment wrapText="1"/>
    </xf>
    <xf numFmtId="9" fontId="19" fillId="9" borderId="0" xfId="3" applyFont="1" applyFill="1" applyAlignment="1">
      <alignment wrapText="1"/>
    </xf>
    <xf numFmtId="0" fontId="12" fillId="9" borderId="0" xfId="0" applyFont="1" applyFill="1" applyAlignment="1">
      <alignment wrapText="1"/>
    </xf>
    <xf numFmtId="1" fontId="11" fillId="9" borderId="0" xfId="0" applyNumberFormat="1" applyFont="1" applyFill="1" applyAlignment="1">
      <alignment wrapText="1"/>
    </xf>
    <xf numFmtId="9" fontId="19" fillId="9" borderId="1" xfId="3" applyFont="1" applyFill="1" applyBorder="1" applyAlignment="1">
      <alignment wrapText="1"/>
    </xf>
    <xf numFmtId="0" fontId="15" fillId="9" borderId="0" xfId="0" applyFont="1" applyFill="1" applyAlignment="1">
      <alignment wrapText="1"/>
    </xf>
    <xf numFmtId="0" fontId="21" fillId="9" borderId="0" xfId="0" applyFont="1" applyFill="1" applyAlignment="1">
      <alignment wrapText="1"/>
    </xf>
    <xf numFmtId="0" fontId="21" fillId="9" borderId="0" xfId="0" applyFont="1" applyFill="1"/>
    <xf numFmtId="0" fontId="15" fillId="9" borderId="0" xfId="0" applyFont="1" applyFill="1"/>
    <xf numFmtId="0" fontId="12" fillId="11" borderId="1" xfId="0" applyFont="1" applyFill="1" applyBorder="1" applyAlignment="1">
      <alignment horizontal="center" vertical="center" wrapText="1"/>
    </xf>
    <xf numFmtId="0" fontId="14" fillId="11" borderId="1" xfId="0" applyFont="1" applyFill="1" applyBorder="1" applyAlignment="1">
      <alignment horizontal="left" wrapText="1"/>
    </xf>
    <xf numFmtId="0" fontId="14" fillId="11" borderId="1" xfId="0" applyFont="1" applyFill="1" applyBorder="1" applyAlignment="1">
      <alignment horizontal="right" wrapText="1"/>
    </xf>
    <xf numFmtId="0" fontId="13" fillId="11" borderId="1" xfId="0" applyFont="1" applyFill="1" applyBorder="1" applyAlignment="1">
      <alignment horizontal="left" wrapText="1"/>
    </xf>
    <xf numFmtId="0" fontId="12" fillId="11" borderId="1" xfId="0" applyFont="1" applyFill="1" applyBorder="1" applyAlignment="1">
      <alignment horizontal="left" wrapText="1"/>
    </xf>
    <xf numFmtId="1" fontId="12" fillId="11" borderId="1" xfId="0" applyNumberFormat="1" applyFont="1" applyFill="1" applyBorder="1" applyAlignment="1">
      <alignment horizontal="right" wrapText="1"/>
    </xf>
    <xf numFmtId="9" fontId="14" fillId="11" borderId="1" xfId="3" applyFont="1" applyFill="1" applyBorder="1" applyAlignment="1">
      <alignment horizontal="right" wrapText="1"/>
    </xf>
    <xf numFmtId="165" fontId="14" fillId="11" borderId="1" xfId="3" applyNumberFormat="1" applyFont="1" applyFill="1" applyBorder="1"/>
    <xf numFmtId="0" fontId="14" fillId="9" borderId="0" xfId="0" applyFont="1" applyFill="1" applyBorder="1"/>
    <xf numFmtId="0" fontId="11" fillId="9" borderId="1" xfId="0" applyFont="1" applyFill="1" applyBorder="1" applyAlignment="1">
      <alignment horizontal="center" vertical="center"/>
    </xf>
    <xf numFmtId="1" fontId="11" fillId="9" borderId="1" xfId="0" applyNumberFormat="1" applyFont="1" applyFill="1" applyBorder="1" applyAlignment="1">
      <alignment horizontal="right" wrapText="1"/>
    </xf>
    <xf numFmtId="0" fontId="13" fillId="9" borderId="1" xfId="0" applyFont="1" applyFill="1" applyBorder="1" applyAlignment="1">
      <alignment horizontal="center" vertical="center"/>
    </xf>
    <xf numFmtId="0" fontId="11" fillId="9" borderId="1" xfId="0" applyFont="1" applyFill="1" applyBorder="1" applyAlignment="1">
      <alignment horizontal="center"/>
    </xf>
    <xf numFmtId="1" fontId="11" fillId="9" borderId="1" xfId="0" applyNumberFormat="1" applyFont="1" applyFill="1" applyBorder="1" applyAlignment="1">
      <alignment horizontal="right"/>
    </xf>
    <xf numFmtId="10" fontId="11" fillId="9" borderId="0" xfId="3" applyNumberFormat="1" applyFont="1" applyFill="1"/>
    <xf numFmtId="0" fontId="22" fillId="9" borderId="0" xfId="0" applyNumberFormat="1" applyFont="1" applyFill="1" applyBorder="1"/>
    <xf numFmtId="0" fontId="14" fillId="9" borderId="15" xfId="0" applyFont="1" applyFill="1" applyBorder="1"/>
    <xf numFmtId="0" fontId="11" fillId="9" borderId="1" xfId="0" applyFont="1" applyFill="1" applyBorder="1"/>
    <xf numFmtId="0" fontId="12" fillId="2" borderId="1" xfId="0" applyFont="1" applyFill="1" applyBorder="1" applyAlignment="1">
      <alignment horizontal="center" vertical="center"/>
    </xf>
    <xf numFmtId="0" fontId="12" fillId="12" borderId="1" xfId="0" applyFont="1" applyFill="1" applyBorder="1"/>
    <xf numFmtId="0" fontId="17" fillId="9" borderId="1" xfId="0" applyFont="1" applyFill="1" applyBorder="1" applyAlignment="1">
      <alignment horizontal="left"/>
    </xf>
    <xf numFmtId="1" fontId="17" fillId="9" borderId="1" xfId="0" applyNumberFormat="1" applyFont="1" applyFill="1" applyBorder="1" applyAlignment="1">
      <alignment horizontal="right"/>
    </xf>
    <xf numFmtId="1" fontId="17" fillId="9" borderId="1" xfId="17" applyNumberFormat="1" applyFont="1" applyFill="1" applyBorder="1" applyAlignment="1">
      <alignment horizontal="right"/>
    </xf>
    <xf numFmtId="0" fontId="13" fillId="10" borderId="1" xfId="0" applyFont="1" applyFill="1" applyBorder="1" applyAlignment="1">
      <alignment horizontal="left"/>
    </xf>
    <xf numFmtId="1" fontId="13" fillId="10" borderId="1" xfId="17" applyNumberFormat="1" applyFont="1" applyFill="1" applyBorder="1" applyAlignment="1">
      <alignment horizontal="right"/>
    </xf>
    <xf numFmtId="0" fontId="13" fillId="9" borderId="0" xfId="0" applyFont="1" applyFill="1" applyBorder="1" applyAlignment="1">
      <alignment horizontal="left"/>
    </xf>
    <xf numFmtId="0" fontId="11" fillId="9" borderId="0" xfId="0" applyNumberFormat="1" applyFont="1" applyFill="1"/>
    <xf numFmtId="0" fontId="12" fillId="11" borderId="1" xfId="0" applyFont="1" applyFill="1" applyBorder="1" applyAlignment="1">
      <alignment horizontal="left"/>
    </xf>
    <xf numFmtId="0" fontId="11" fillId="9" borderId="0" xfId="0" applyFont="1" applyFill="1" applyBorder="1" applyAlignment="1">
      <alignment horizontal="left"/>
    </xf>
    <xf numFmtId="1" fontId="11" fillId="9" borderId="0" xfId="0" applyNumberFormat="1" applyFont="1" applyFill="1" applyBorder="1"/>
    <xf numFmtId="1" fontId="17" fillId="9" borderId="1" xfId="0" applyNumberFormat="1" applyFont="1" applyFill="1" applyBorder="1"/>
    <xf numFmtId="0" fontId="17" fillId="9" borderId="1" xfId="0" applyFont="1" applyFill="1" applyBorder="1"/>
    <xf numFmtId="1" fontId="13" fillId="9" borderId="1" xfId="0" applyNumberFormat="1" applyFont="1" applyFill="1" applyBorder="1"/>
    <xf numFmtId="0" fontId="16" fillId="9" borderId="1" xfId="0" applyFont="1" applyFill="1" applyBorder="1"/>
    <xf numFmtId="0" fontId="13" fillId="2" borderId="1" xfId="0" applyFont="1" applyFill="1" applyBorder="1" applyAlignment="1">
      <alignment horizontal="center" vertical="center" wrapText="1"/>
    </xf>
    <xf numFmtId="0" fontId="13" fillId="2" borderId="1" xfId="0" applyFont="1" applyFill="1" applyBorder="1" applyAlignment="1">
      <alignment wrapText="1"/>
    </xf>
    <xf numFmtId="0" fontId="11" fillId="9" borderId="1" xfId="0" applyFont="1" applyFill="1" applyBorder="1" applyAlignment="1">
      <alignment wrapText="1"/>
    </xf>
    <xf numFmtId="0" fontId="13" fillId="9" borderId="1" xfId="0" applyFont="1" applyFill="1" applyBorder="1" applyAlignment="1">
      <alignment horizontal="right" vertical="center" wrapText="1"/>
    </xf>
    <xf numFmtId="0" fontId="16" fillId="2" borderId="1" xfId="0" applyFont="1" applyFill="1" applyBorder="1" applyAlignment="1">
      <alignment wrapText="1"/>
    </xf>
    <xf numFmtId="0" fontId="16" fillId="9" borderId="1" xfId="0" applyFont="1" applyFill="1" applyBorder="1" applyAlignment="1">
      <alignment horizontal="left" vertical="center" wrapText="1"/>
    </xf>
    <xf numFmtId="0" fontId="17" fillId="9" borderId="1" xfId="0" applyFont="1" applyFill="1" applyBorder="1" applyAlignment="1">
      <alignment wrapText="1"/>
    </xf>
    <xf numFmtId="0" fontId="13" fillId="2" borderId="1" xfId="0" applyFont="1" applyFill="1" applyBorder="1" applyAlignment="1">
      <alignment horizontal="center" vertical="top" wrapText="1"/>
    </xf>
    <xf numFmtId="0" fontId="11" fillId="9" borderId="1" xfId="0" applyFont="1" applyFill="1" applyBorder="1" applyAlignment="1">
      <alignment vertical="center"/>
    </xf>
    <xf numFmtId="0" fontId="23" fillId="9" borderId="1" xfId="2" applyFont="1" applyFill="1" applyBorder="1" applyAlignment="1">
      <alignment horizontal="center" vertical="center" wrapText="1"/>
    </xf>
    <xf numFmtId="0" fontId="13" fillId="9" borderId="1" xfId="0" applyFont="1" applyFill="1" applyBorder="1" applyAlignment="1">
      <alignment horizontal="left" vertical="top" wrapText="1"/>
    </xf>
    <xf numFmtId="0" fontId="13" fillId="9" borderId="1" xfId="0" applyFont="1" applyFill="1" applyBorder="1" applyAlignment="1">
      <alignment wrapText="1"/>
    </xf>
    <xf numFmtId="0" fontId="23" fillId="9" borderId="1" xfId="2" applyFont="1" applyFill="1" applyBorder="1" applyAlignment="1">
      <alignment vertical="center"/>
    </xf>
    <xf numFmtId="0" fontId="23" fillId="9" borderId="0" xfId="2" applyFont="1" applyFill="1" applyBorder="1" applyAlignment="1">
      <alignment vertical="center"/>
    </xf>
    <xf numFmtId="0" fontId="11" fillId="9" borderId="1" xfId="0" applyFont="1" applyFill="1" applyBorder="1" applyAlignment="1">
      <alignment vertical="center" wrapText="1"/>
    </xf>
    <xf numFmtId="11" fontId="13" fillId="9" borderId="1" xfId="0" applyNumberFormat="1" applyFont="1" applyFill="1" applyBorder="1" applyAlignment="1">
      <alignment horizontal="left" vertical="top" wrapText="1"/>
    </xf>
    <xf numFmtId="0" fontId="13" fillId="2" borderId="1" xfId="0" applyFont="1" applyFill="1" applyBorder="1" applyAlignment="1">
      <alignment horizontal="left" vertical="top" wrapText="1"/>
    </xf>
    <xf numFmtId="0" fontId="12" fillId="15" borderId="1" xfId="0" applyFont="1" applyFill="1" applyBorder="1" applyAlignment="1">
      <alignment horizontal="center" vertical="center"/>
    </xf>
    <xf numFmtId="0" fontId="12" fillId="15" borderId="1" xfId="0" applyFont="1" applyFill="1" applyBorder="1" applyAlignment="1">
      <alignment horizontal="center" wrapText="1"/>
    </xf>
    <xf numFmtId="0" fontId="12" fillId="15" borderId="1" xfId="0" applyFont="1" applyFill="1" applyBorder="1" applyAlignment="1">
      <alignment horizontal="center" vertical="center" wrapText="1"/>
    </xf>
    <xf numFmtId="0" fontId="24" fillId="9" borderId="1" xfId="0" applyFont="1" applyFill="1" applyBorder="1"/>
    <xf numFmtId="10" fontId="24" fillId="9" borderId="1" xfId="3" applyNumberFormat="1" applyFont="1" applyFill="1" applyBorder="1"/>
    <xf numFmtId="167" fontId="11" fillId="9" borderId="1" xfId="0" applyNumberFormat="1" applyFont="1" applyFill="1" applyBorder="1" applyAlignment="1">
      <alignment horizontal="right"/>
    </xf>
    <xf numFmtId="0" fontId="11" fillId="9" borderId="0" xfId="0" applyFont="1" applyFill="1" applyAlignment="1">
      <alignment horizontal="left" vertical="center" wrapText="1"/>
    </xf>
    <xf numFmtId="167" fontId="13" fillId="3" borderId="1" xfId="0" applyNumberFormat="1" applyFont="1" applyFill="1" applyBorder="1" applyAlignment="1">
      <alignment horizontal="right"/>
    </xf>
    <xf numFmtId="167" fontId="13" fillId="3" borderId="1" xfId="0" applyNumberFormat="1" applyFont="1" applyFill="1" applyBorder="1"/>
    <xf numFmtId="167" fontId="11" fillId="5" borderId="1" xfId="0" applyNumberFormat="1" applyFont="1" applyFill="1" applyBorder="1"/>
    <xf numFmtId="167" fontId="11" fillId="0" borderId="1" xfId="0" applyNumberFormat="1" applyFont="1" applyFill="1" applyBorder="1" applyAlignment="1">
      <alignment wrapText="1"/>
    </xf>
    <xf numFmtId="167" fontId="11" fillId="0" borderId="1" xfId="0" applyNumberFormat="1" applyFont="1" applyBorder="1"/>
    <xf numFmtId="167" fontId="13" fillId="14" borderId="1" xfId="0" applyNumberFormat="1" applyFont="1" applyFill="1" applyBorder="1" applyAlignment="1">
      <alignment wrapText="1"/>
    </xf>
    <xf numFmtId="167" fontId="11" fillId="3" borderId="1" xfId="0" applyNumberFormat="1" applyFont="1" applyFill="1" applyBorder="1" applyAlignment="1">
      <alignment horizontal="right"/>
    </xf>
    <xf numFmtId="167" fontId="13" fillId="3" borderId="1" xfId="0" applyNumberFormat="1" applyFont="1" applyFill="1" applyBorder="1" applyAlignment="1">
      <alignment wrapText="1"/>
    </xf>
    <xf numFmtId="167" fontId="16" fillId="3" borderId="1" xfId="0" applyNumberFormat="1" applyFont="1" applyFill="1" applyBorder="1"/>
    <xf numFmtId="0" fontId="6" fillId="9" borderId="0" xfId="0" applyFont="1" applyFill="1" applyAlignment="1">
      <alignment horizontal="left"/>
    </xf>
    <xf numFmtId="166" fontId="6" fillId="0" borderId="8" xfId="0" quotePrefix="1" applyNumberFormat="1" applyFont="1" applyBorder="1" applyAlignment="1">
      <alignment horizontal="left" vertical="center" wrapText="1"/>
    </xf>
    <xf numFmtId="0" fontId="6" fillId="0" borderId="27" xfId="0" applyFont="1" applyBorder="1" applyAlignment="1">
      <alignment vertical="center"/>
    </xf>
    <xf numFmtId="0" fontId="6" fillId="0" borderId="27" xfId="0" applyFont="1" applyBorder="1" applyAlignment="1">
      <alignment vertical="center" wrapText="1"/>
    </xf>
    <xf numFmtId="0" fontId="6" fillId="0" borderId="27" xfId="0" applyFont="1" applyBorder="1" applyAlignment="1">
      <alignment vertical="top" wrapText="1"/>
    </xf>
    <xf numFmtId="0" fontId="9" fillId="9" borderId="29" xfId="0" applyFont="1" applyFill="1" applyBorder="1" applyAlignment="1">
      <alignment vertical="center" wrapText="1"/>
    </xf>
    <xf numFmtId="0" fontId="6" fillId="0" borderId="30" xfId="0" applyFont="1" applyBorder="1" applyAlignment="1">
      <alignment horizontal="left" vertical="center" wrapText="1"/>
    </xf>
    <xf numFmtId="0" fontId="26" fillId="0" borderId="32" xfId="18" applyFont="1" applyFill="1" applyBorder="1"/>
    <xf numFmtId="0" fontId="9" fillId="0" borderId="10" xfId="0" applyFont="1" applyBorder="1" applyAlignment="1">
      <alignment horizontal="left" vertical="center" wrapText="1"/>
    </xf>
    <xf numFmtId="0" fontId="9" fillId="9" borderId="34" xfId="0" applyFont="1" applyFill="1" applyBorder="1" applyAlignment="1">
      <alignment vertical="center" wrapText="1"/>
    </xf>
    <xf numFmtId="0" fontId="7" fillId="16" borderId="24" xfId="0" applyFont="1" applyFill="1" applyBorder="1" applyAlignment="1">
      <alignment horizontal="left" vertical="center"/>
    </xf>
    <xf numFmtId="0" fontId="7" fillId="16" borderId="7" xfId="0" applyFont="1" applyFill="1" applyBorder="1" applyAlignment="1">
      <alignment horizontal="left" vertical="center"/>
    </xf>
    <xf numFmtId="0" fontId="8" fillId="16" borderId="26" xfId="0" applyFont="1" applyFill="1" applyBorder="1" applyAlignment="1">
      <alignment horizontal="left" vertical="center"/>
    </xf>
    <xf numFmtId="0" fontId="8" fillId="16" borderId="28" xfId="0" applyFont="1" applyFill="1" applyBorder="1" applyAlignment="1">
      <alignment horizontal="left" vertical="center" wrapText="1"/>
    </xf>
    <xf numFmtId="0" fontId="8" fillId="16" borderId="28" xfId="0" applyFont="1" applyFill="1" applyBorder="1" applyAlignment="1">
      <alignment horizontal="left" vertical="center"/>
    </xf>
    <xf numFmtId="0" fontId="8" fillId="16" borderId="31" xfId="0" applyFont="1" applyFill="1" applyBorder="1" applyAlignment="1">
      <alignment horizontal="left" vertical="center"/>
    </xf>
    <xf numFmtId="0" fontId="8" fillId="16" borderId="33" xfId="0" applyFont="1" applyFill="1" applyBorder="1" applyAlignment="1">
      <alignment horizontal="left" vertical="center"/>
    </xf>
    <xf numFmtId="0" fontId="11" fillId="2" borderId="0" xfId="0" applyFont="1" applyFill="1"/>
    <xf numFmtId="0" fontId="11" fillId="2" borderId="0" xfId="0" applyFont="1" applyFill="1" applyAlignment="1">
      <alignment wrapText="1"/>
    </xf>
    <xf numFmtId="0" fontId="8" fillId="0" borderId="25" xfId="0" applyFont="1" applyBorder="1" applyAlignment="1">
      <alignment vertical="center" wrapText="1"/>
    </xf>
    <xf numFmtId="0" fontId="19" fillId="9" borderId="1" xfId="0" applyFont="1" applyFill="1" applyBorder="1"/>
    <xf numFmtId="0" fontId="18" fillId="9" borderId="1" xfId="0" applyFont="1" applyFill="1" applyBorder="1"/>
    <xf numFmtId="1" fontId="18" fillId="9" borderId="1" xfId="0" applyNumberFormat="1" applyFont="1" applyFill="1" applyBorder="1"/>
    <xf numFmtId="168" fontId="11" fillId="5" borderId="1" xfId="0" applyNumberFormat="1" applyFont="1" applyFill="1" applyBorder="1"/>
    <xf numFmtId="168" fontId="11" fillId="0" borderId="1" xfId="0" applyNumberFormat="1" applyFont="1" applyFill="1" applyBorder="1" applyAlignment="1">
      <alignment wrapText="1"/>
    </xf>
    <xf numFmtId="168" fontId="11" fillId="0" borderId="1" xfId="0" applyNumberFormat="1" applyFont="1" applyBorder="1"/>
    <xf numFmtId="164" fontId="11" fillId="0" borderId="1" xfId="17" applyFont="1" applyBorder="1"/>
    <xf numFmtId="164" fontId="11" fillId="5" borderId="1" xfId="17" applyFont="1" applyFill="1" applyBorder="1"/>
    <xf numFmtId="164" fontId="11" fillId="14" borderId="1" xfId="17" applyFont="1" applyFill="1" applyBorder="1"/>
    <xf numFmtId="164" fontId="11" fillId="9" borderId="1" xfId="17" applyFont="1" applyFill="1" applyBorder="1" applyAlignment="1">
      <alignment horizontal="right"/>
    </xf>
    <xf numFmtId="164" fontId="11" fillId="9" borderId="1" xfId="17" applyFont="1" applyFill="1" applyBorder="1"/>
    <xf numFmtId="0" fontId="12" fillId="2" borderId="1" xfId="0" applyFont="1" applyFill="1" applyBorder="1" applyAlignment="1">
      <alignment horizontal="center"/>
    </xf>
    <xf numFmtId="0" fontId="14" fillId="5" borderId="1" xfId="0" applyFont="1" applyFill="1" applyBorder="1" applyAlignment="1">
      <alignment horizontal="center"/>
    </xf>
    <xf numFmtId="167" fontId="12" fillId="4" borderId="1" xfId="0" applyNumberFormat="1" applyFont="1" applyFill="1" applyBorder="1" applyAlignment="1">
      <alignment horizontal="center"/>
    </xf>
    <xf numFmtId="167" fontId="12" fillId="4" borderId="1" xfId="0" applyNumberFormat="1" applyFont="1" applyFill="1" applyBorder="1" applyAlignment="1">
      <alignment horizontal="center" vertical="center"/>
    </xf>
    <xf numFmtId="0" fontId="14" fillId="5" borderId="11" xfId="0" applyFont="1" applyFill="1" applyBorder="1" applyAlignment="1">
      <alignment horizontal="center"/>
    </xf>
    <xf numFmtId="0" fontId="14" fillId="5" borderId="12" xfId="0" applyFont="1" applyFill="1" applyBorder="1" applyAlignment="1">
      <alignment horizontal="center"/>
    </xf>
    <xf numFmtId="0" fontId="14" fillId="5" borderId="13" xfId="0" applyFont="1" applyFill="1" applyBorder="1" applyAlignment="1">
      <alignment horizontal="center"/>
    </xf>
    <xf numFmtId="0" fontId="13" fillId="3" borderId="1" xfId="0" applyFont="1" applyFill="1" applyBorder="1" applyAlignment="1">
      <alignment horizontal="center" wrapText="1"/>
    </xf>
    <xf numFmtId="0" fontId="15" fillId="9" borderId="1" xfId="0" applyFont="1" applyFill="1" applyBorder="1" applyAlignment="1">
      <alignment horizontal="center" vertical="top" wrapText="1"/>
    </xf>
    <xf numFmtId="0" fontId="15" fillId="9" borderId="1" xfId="0" applyFont="1" applyFill="1" applyBorder="1" applyAlignment="1">
      <alignment horizontal="center" vertical="center" wrapText="1"/>
    </xf>
    <xf numFmtId="0" fontId="12" fillId="13" borderId="1" xfId="0" applyFont="1" applyFill="1" applyBorder="1" applyAlignment="1">
      <alignment horizontal="center"/>
    </xf>
    <xf numFmtId="0" fontId="12" fillId="8" borderId="1" xfId="0" applyFont="1" applyFill="1" applyBorder="1" applyAlignment="1">
      <alignment horizontal="center"/>
    </xf>
    <xf numFmtId="0" fontId="12" fillId="8" borderId="11" xfId="0" applyFont="1" applyFill="1" applyBorder="1" applyAlignment="1">
      <alignment horizontal="center"/>
    </xf>
    <xf numFmtId="0" fontId="12" fillId="8" borderId="12" xfId="0" applyFont="1" applyFill="1" applyBorder="1" applyAlignment="1">
      <alignment horizontal="center"/>
    </xf>
    <xf numFmtId="0" fontId="12" fillId="8" borderId="13" xfId="0" applyFont="1" applyFill="1" applyBorder="1" applyAlignment="1">
      <alignment horizontal="center"/>
    </xf>
    <xf numFmtId="0" fontId="12" fillId="11" borderId="1" xfId="0" applyFont="1" applyFill="1" applyBorder="1" applyAlignment="1">
      <alignment horizontal="left" vertical="center" wrapText="1"/>
    </xf>
    <xf numFmtId="0" fontId="12" fillId="11" borderId="1" xfId="0" applyFont="1" applyFill="1" applyBorder="1" applyAlignment="1">
      <alignment horizontal="right" vertical="center" wrapText="1"/>
    </xf>
    <xf numFmtId="0" fontId="12" fillId="11" borderId="1" xfId="0" applyFont="1" applyFill="1" applyBorder="1" applyAlignment="1">
      <alignment horizontal="center" vertical="center"/>
    </xf>
    <xf numFmtId="1" fontId="11" fillId="9" borderId="1" xfId="0" applyNumberFormat="1" applyFont="1" applyFill="1" applyBorder="1" applyAlignment="1">
      <alignment horizontal="right" vertical="center" wrapText="1"/>
    </xf>
    <xf numFmtId="0" fontId="12" fillId="12" borderId="1" xfId="0" applyFont="1" applyFill="1" applyBorder="1" applyAlignment="1">
      <alignment horizontal="center"/>
    </xf>
    <xf numFmtId="0" fontId="12" fillId="11" borderId="1" xfId="0" applyFont="1" applyFill="1" applyBorder="1" applyAlignment="1">
      <alignment horizontal="center"/>
    </xf>
    <xf numFmtId="0" fontId="11" fillId="9" borderId="16" xfId="0" applyFont="1" applyFill="1" applyBorder="1" applyAlignment="1">
      <alignment horizontal="center" vertical="center"/>
    </xf>
    <xf numFmtId="0" fontId="11" fillId="9" borderId="17" xfId="0" applyFont="1" applyFill="1" applyBorder="1" applyAlignment="1">
      <alignment horizontal="center" vertical="center"/>
    </xf>
    <xf numFmtId="0" fontId="11" fillId="9" borderId="18" xfId="0" applyFont="1" applyFill="1" applyBorder="1" applyAlignment="1">
      <alignment horizontal="center" vertical="center"/>
    </xf>
    <xf numFmtId="0" fontId="11" fillId="9" borderId="19" xfId="0" applyFont="1" applyFill="1" applyBorder="1" applyAlignment="1">
      <alignment horizontal="center" vertical="center"/>
    </xf>
    <xf numFmtId="0" fontId="11" fillId="9" borderId="0" xfId="0" applyFont="1" applyFill="1" applyBorder="1" applyAlignment="1">
      <alignment horizontal="center" vertical="center"/>
    </xf>
    <xf numFmtId="0" fontId="11" fillId="9" borderId="20" xfId="0" applyFont="1" applyFill="1" applyBorder="1" applyAlignment="1">
      <alignment horizontal="center" vertical="center"/>
    </xf>
    <xf numFmtId="0" fontId="11" fillId="9" borderId="21" xfId="0" applyFont="1" applyFill="1" applyBorder="1" applyAlignment="1">
      <alignment horizontal="center" vertical="center"/>
    </xf>
    <xf numFmtId="0" fontId="11" fillId="9" borderId="22" xfId="0" applyFont="1" applyFill="1" applyBorder="1" applyAlignment="1">
      <alignment horizontal="center" vertical="center"/>
    </xf>
    <xf numFmtId="0" fontId="11" fillId="9" borderId="23"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3" xfId="0" applyFont="1" applyFill="1" applyBorder="1" applyAlignment="1">
      <alignment horizontal="center" vertical="center"/>
    </xf>
    <xf numFmtId="0" fontId="13" fillId="2" borderId="1" xfId="0" applyFont="1" applyFill="1" applyBorder="1" applyAlignment="1">
      <alignment horizontal="center" wrapText="1"/>
    </xf>
    <xf numFmtId="0" fontId="23" fillId="9" borderId="1" xfId="2" applyFont="1" applyFill="1" applyBorder="1" applyAlignment="1">
      <alignment horizontal="center" vertical="center" wrapText="1"/>
    </xf>
    <xf numFmtId="0" fontId="11" fillId="9" borderId="1" xfId="0" applyFont="1" applyFill="1" applyBorder="1" applyAlignment="1">
      <alignment horizontal="center" vertical="center" wrapText="1"/>
    </xf>
    <xf numFmtId="0" fontId="23" fillId="9" borderId="1" xfId="2" applyFont="1" applyFill="1" applyBorder="1" applyAlignment="1">
      <alignment horizontal="left" vertical="center"/>
    </xf>
    <xf numFmtId="0" fontId="23" fillId="9" borderId="1" xfId="2" applyFont="1" applyFill="1" applyBorder="1" applyAlignment="1">
      <alignment horizontal="center" wrapText="1"/>
    </xf>
    <xf numFmtId="0" fontId="14" fillId="9" borderId="1" xfId="0" applyFont="1" applyFill="1" applyBorder="1" applyAlignment="1">
      <alignment horizontal="left" vertical="center"/>
    </xf>
    <xf numFmtId="0" fontId="11" fillId="9" borderId="1" xfId="0" applyFont="1" applyFill="1" applyBorder="1" applyAlignment="1">
      <alignment horizontal="center" vertical="center"/>
    </xf>
    <xf numFmtId="0" fontId="23" fillId="9" borderId="1" xfId="2" applyFont="1" applyFill="1" applyBorder="1" applyAlignment="1">
      <alignment horizontal="center" vertical="center"/>
    </xf>
    <xf numFmtId="0" fontId="16" fillId="2" borderId="1" xfId="0" applyFont="1" applyFill="1" applyBorder="1" applyAlignment="1">
      <alignment horizontal="center" wrapText="1"/>
    </xf>
  </cellXfs>
  <cellStyles count="19">
    <cellStyle name="Comma" xfId="17" builtinId="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2" builtinId="8"/>
    <cellStyle name="Hyperlink 2" xfId="18"/>
    <cellStyle name="Normal" xfId="0" builtinId="0"/>
    <cellStyle name="Normal 2" xfId="1"/>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theme" Target="theme/theme1.xml"/><Relationship Id="rId5" Type="http://schemas.openxmlformats.org/officeDocument/2006/relationships/chartsheet" Target="chartsheets/sheet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782407517910669E-2"/>
          <c:y val="6.6780742446031813E-2"/>
          <c:w val="0.90628265147326892"/>
          <c:h val="0.52626595642781415"/>
        </c:manualLayout>
      </c:layout>
      <c:areaChart>
        <c:grouping val="stacked"/>
        <c:varyColors val="0"/>
        <c:ser>
          <c:idx val="0"/>
          <c:order val="0"/>
          <c:tx>
            <c:strRef>
              <c:f>'2'!$B$5</c:f>
              <c:strCache>
                <c:ptCount val="1"/>
                <c:pt idx="0">
                  <c:v>Iron &amp; Steel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'2'!$C$5:$K$5</c:f>
              <c:numCache>
                <c:formatCode>_ * #,##0.00_ ;_ * \-#,##0.00_ ;_ * "-"??_ ;_ @_ </c:formatCode>
                <c:ptCount val="9"/>
                <c:pt idx="0">
                  <c:v>109.32097214699967</c:v>
                </c:pt>
                <c:pt idx="1">
                  <c:v>108.47552469446809</c:v>
                </c:pt>
                <c:pt idx="2">
                  <c:v>142.4354787444118</c:v>
                </c:pt>
                <c:pt idx="3">
                  <c:v>172.18096193261289</c:v>
                </c:pt>
                <c:pt idx="4">
                  <c:v>166.32738802697503</c:v>
                </c:pt>
                <c:pt idx="5">
                  <c:v>207.10710269836545</c:v>
                </c:pt>
                <c:pt idx="6">
                  <c:v>217.87026059247151</c:v>
                </c:pt>
                <c:pt idx="7">
                  <c:v>227.02673376042347</c:v>
                </c:pt>
                <c:pt idx="8">
                  <c:v>234.07720412734096</c:v>
                </c:pt>
              </c:numCache>
            </c:numRef>
          </c:val>
          <c:extLst>
            <c:ext xmlns:c16="http://schemas.microsoft.com/office/drawing/2014/chart" uri="{C3380CC4-5D6E-409C-BE32-E72D297353CC}">
              <c16:uniqueId val="{00000000-7E15-42F2-8777-5B3940DE5ACF}"/>
            </c:ext>
          </c:extLst>
        </c:ser>
        <c:ser>
          <c:idx val="1"/>
          <c:order val="1"/>
          <c:tx>
            <c:strRef>
              <c:f>'2'!$B$6</c:f>
              <c:strCache>
                <c:ptCount val="1"/>
                <c:pt idx="0">
                  <c:v>Chemicals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'2'!$C$6:$K$6</c:f>
              <c:numCache>
                <c:formatCode>_ * #,##0.00_ ;_ * \-#,##0.00_ ;_ * "-"??_ ;_ @_ </c:formatCode>
                <c:ptCount val="9"/>
                <c:pt idx="0">
                  <c:v>40.50290927229485</c:v>
                </c:pt>
                <c:pt idx="1">
                  <c:v>36.44142671658205</c:v>
                </c:pt>
                <c:pt idx="2">
                  <c:v>39.5466582603026</c:v>
                </c:pt>
                <c:pt idx="3">
                  <c:v>47.580123443672804</c:v>
                </c:pt>
                <c:pt idx="4">
                  <c:v>48.442959597294994</c:v>
                </c:pt>
                <c:pt idx="5">
                  <c:v>53.670245791044749</c:v>
                </c:pt>
                <c:pt idx="6">
                  <c:v>53.660725831871758</c:v>
                </c:pt>
                <c:pt idx="7">
                  <c:v>61.891368088265267</c:v>
                </c:pt>
                <c:pt idx="8">
                  <c:v>72.907748801853501</c:v>
                </c:pt>
              </c:numCache>
            </c:numRef>
          </c:val>
          <c:extLst>
            <c:ext xmlns:c16="http://schemas.microsoft.com/office/drawing/2014/chart" uri="{C3380CC4-5D6E-409C-BE32-E72D297353CC}">
              <c16:uniqueId val="{00000001-7E15-42F2-8777-5B3940DE5ACF}"/>
            </c:ext>
          </c:extLst>
        </c:ser>
        <c:ser>
          <c:idx val="2"/>
          <c:order val="2"/>
          <c:tx>
            <c:strRef>
              <c:f>'2'!$B$7</c:f>
              <c:strCache>
                <c:ptCount val="1"/>
                <c:pt idx="0">
                  <c:v>Ferro Alloys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'2'!$C$7:$K$7</c:f>
              <c:numCache>
                <c:formatCode>_ * #,##0.00_ ;_ * \-#,##0.00_ ;_ * "-"??_ ;_ @_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7E15-42F2-8777-5B3940DE5ACF}"/>
            </c:ext>
          </c:extLst>
        </c:ser>
        <c:ser>
          <c:idx val="3"/>
          <c:order val="3"/>
          <c:tx>
            <c:strRef>
              <c:f>'2'!$B$8</c:f>
              <c:strCache>
                <c:ptCount val="1"/>
                <c:pt idx="0">
                  <c:v>Non-Ferrous Metals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'2'!$C$8:$K$8</c:f>
              <c:numCache>
                <c:formatCode>_ * #,##0.00_ ;_ * \-#,##0.00_ ;_ * "-"??_ ;_ @_ </c:formatCode>
                <c:ptCount val="9"/>
                <c:pt idx="0">
                  <c:v>16.189031256723748</c:v>
                </c:pt>
                <c:pt idx="1">
                  <c:v>6.4561958254812497</c:v>
                </c:pt>
                <c:pt idx="2">
                  <c:v>7.9110238902749987</c:v>
                </c:pt>
                <c:pt idx="3">
                  <c:v>11.718707075953576</c:v>
                </c:pt>
                <c:pt idx="4">
                  <c:v>14.715320016360723</c:v>
                </c:pt>
                <c:pt idx="5">
                  <c:v>13.202486877512424</c:v>
                </c:pt>
                <c:pt idx="6">
                  <c:v>25.807998099639779</c:v>
                </c:pt>
                <c:pt idx="7">
                  <c:v>35.72239370561001</c:v>
                </c:pt>
                <c:pt idx="8">
                  <c:v>45.731525822904992</c:v>
                </c:pt>
              </c:numCache>
            </c:numRef>
          </c:val>
          <c:extLst>
            <c:ext xmlns:c16="http://schemas.microsoft.com/office/drawing/2014/chart" uri="{C3380CC4-5D6E-409C-BE32-E72D297353CC}">
              <c16:uniqueId val="{00000003-7E15-42F2-8777-5B3940DE5ACF}"/>
            </c:ext>
          </c:extLst>
        </c:ser>
        <c:ser>
          <c:idx val="4"/>
          <c:order val="4"/>
          <c:tx>
            <c:strRef>
              <c:f>'2'!$B$9</c:f>
              <c:strCache>
                <c:ptCount val="1"/>
                <c:pt idx="0">
                  <c:v>Non-metallic minerals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'2'!$C$9:$K$9</c:f>
              <c:numCache>
                <c:formatCode>_ * #,##0.00_ ;_ * \-#,##0.00_ ;_ * "-"??_ ;_ @_ </c:formatCode>
                <c:ptCount val="9"/>
                <c:pt idx="0">
                  <c:v>96.956998976600232</c:v>
                </c:pt>
                <c:pt idx="1">
                  <c:v>102.72690935028349</c:v>
                </c:pt>
                <c:pt idx="2">
                  <c:v>110.87774751892374</c:v>
                </c:pt>
                <c:pt idx="3">
                  <c:v>124.08119197656902</c:v>
                </c:pt>
                <c:pt idx="4">
                  <c:v>135.94030439148798</c:v>
                </c:pt>
                <c:pt idx="5">
                  <c:v>149.54990827905652</c:v>
                </c:pt>
                <c:pt idx="6">
                  <c:v>160.22436322260873</c:v>
                </c:pt>
                <c:pt idx="7">
                  <c:v>165.1227787641937</c:v>
                </c:pt>
                <c:pt idx="8">
                  <c:v>178.08427788161001</c:v>
                </c:pt>
              </c:numCache>
            </c:numRef>
          </c:val>
          <c:extLst>
            <c:ext xmlns:c16="http://schemas.microsoft.com/office/drawing/2014/chart" uri="{C3380CC4-5D6E-409C-BE32-E72D297353CC}">
              <c16:uniqueId val="{00000004-7E15-42F2-8777-5B3940DE5ACF}"/>
            </c:ext>
          </c:extLst>
        </c:ser>
        <c:ser>
          <c:idx val="5"/>
          <c:order val="5"/>
          <c:tx>
            <c:strRef>
              <c:f>'2'!$B$10</c:f>
              <c:strCache>
                <c:ptCount val="1"/>
                <c:pt idx="0">
                  <c:v>Non-Energy products from fuels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'2'!$C$10:$K$10</c:f>
              <c:numCache>
                <c:formatCode>_ * #,##0.00_ ;_ * \-#,##0.00_ ;_ * "-"??_ ;_ @_ </c:formatCode>
                <c:ptCount val="9"/>
                <c:pt idx="0">
                  <c:v>3.2048835000000002</c:v>
                </c:pt>
                <c:pt idx="1">
                  <c:v>3.0277177750000002</c:v>
                </c:pt>
                <c:pt idx="2">
                  <c:v>3.4953824250000003</c:v>
                </c:pt>
                <c:pt idx="3">
                  <c:v>3.1896829999999996</c:v>
                </c:pt>
                <c:pt idx="4">
                  <c:v>3.1476033250000004</c:v>
                </c:pt>
                <c:pt idx="5">
                  <c:v>4.244828525</c:v>
                </c:pt>
                <c:pt idx="6">
                  <c:v>4.5310899999999998</c:v>
                </c:pt>
                <c:pt idx="7">
                  <c:v>4.6686537500000007</c:v>
                </c:pt>
                <c:pt idx="8">
                  <c:v>4.4962442500000002</c:v>
                </c:pt>
              </c:numCache>
            </c:numRef>
          </c:val>
          <c:extLst>
            <c:ext xmlns:c16="http://schemas.microsoft.com/office/drawing/2014/chart" uri="{C3380CC4-5D6E-409C-BE32-E72D297353CC}">
              <c16:uniqueId val="{00000005-7E15-42F2-8777-5B3940DE5ACF}"/>
            </c:ext>
          </c:extLst>
        </c:ser>
        <c:ser>
          <c:idx val="6"/>
          <c:order val="6"/>
          <c:tx>
            <c:strRef>
              <c:f>'2'!$B$11</c:f>
              <c:strCache>
                <c:ptCount val="1"/>
                <c:pt idx="0">
                  <c:v>Refining + manufacture of solid fuels, Other energy Industry</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'2'!$C$11:$K$11</c:f>
              <c:numCache>
                <c:formatCode>_ * #,##0.00_ ;_ * \-#,##0.00_ ;_ * "-"??_ ;_ @_ </c:formatCode>
                <c:ptCount val="9"/>
                <c:pt idx="0">
                  <c:v>27.633387765865628</c:v>
                </c:pt>
                <c:pt idx="1">
                  <c:v>31.162243877071774</c:v>
                </c:pt>
                <c:pt idx="2">
                  <c:v>30.740590169171377</c:v>
                </c:pt>
                <c:pt idx="3">
                  <c:v>34.551645619801953</c:v>
                </c:pt>
                <c:pt idx="4">
                  <c:v>40.388838974451303</c:v>
                </c:pt>
                <c:pt idx="5">
                  <c:v>43.206988987528852</c:v>
                </c:pt>
                <c:pt idx="6">
                  <c:v>47.204961087599997</c:v>
                </c:pt>
                <c:pt idx="7">
                  <c:v>50.136546109650006</c:v>
                </c:pt>
                <c:pt idx="8">
                  <c:v>46.304188251400006</c:v>
                </c:pt>
              </c:numCache>
            </c:numRef>
          </c:val>
          <c:extLst>
            <c:ext xmlns:c16="http://schemas.microsoft.com/office/drawing/2014/chart" uri="{C3380CC4-5D6E-409C-BE32-E72D297353CC}">
              <c16:uniqueId val="{00000006-7E15-42F2-8777-5B3940DE5ACF}"/>
            </c:ext>
          </c:extLst>
        </c:ser>
        <c:ser>
          <c:idx val="7"/>
          <c:order val="7"/>
          <c:tx>
            <c:strRef>
              <c:f>'2'!$B$12</c:f>
              <c:strCache>
                <c:ptCount val="1"/>
                <c:pt idx="0">
                  <c:v>Mining</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'2'!$C$12:$K$12</c:f>
              <c:numCache>
                <c:formatCode>_ * #,##0.00_ ;_ * \-#,##0.00_ ;_ * "-"??_ ;_ @_ </c:formatCode>
                <c:ptCount val="9"/>
                <c:pt idx="0">
                  <c:v>2.2133624800000001E-2</c:v>
                </c:pt>
                <c:pt idx="1">
                  <c:v>1.8808618725000004E-2</c:v>
                </c:pt>
                <c:pt idx="2">
                  <c:v>6.4098729249999998E-3</c:v>
                </c:pt>
                <c:pt idx="3">
                  <c:v>1.1207616219424999E-2</c:v>
                </c:pt>
                <c:pt idx="4">
                  <c:v>3.1090321658274998E-2</c:v>
                </c:pt>
                <c:pt idx="5">
                  <c:v>6.6349394932499986E-2</c:v>
                </c:pt>
                <c:pt idx="6">
                  <c:v>5.5633766092499995E-2</c:v>
                </c:pt>
                <c:pt idx="7">
                  <c:v>5.4837705859999988E-2</c:v>
                </c:pt>
                <c:pt idx="8">
                  <c:v>3.3943581675000008E-2</c:v>
                </c:pt>
              </c:numCache>
            </c:numRef>
          </c:val>
          <c:extLst>
            <c:ext xmlns:c16="http://schemas.microsoft.com/office/drawing/2014/chart" uri="{C3380CC4-5D6E-409C-BE32-E72D297353CC}">
              <c16:uniqueId val="{00000007-7E15-42F2-8777-5B3940DE5ACF}"/>
            </c:ext>
          </c:extLst>
        </c:ser>
        <c:ser>
          <c:idx val="8"/>
          <c:order val="8"/>
          <c:tx>
            <c:strRef>
              <c:f>'2'!$B$13</c:f>
              <c:strCache>
                <c:ptCount val="1"/>
                <c:pt idx="0">
                  <c:v>Textile and Leather</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'2'!$C$13:$K$13</c:f>
              <c:numCache>
                <c:formatCode>_ * #,##0.00_ ;_ * \-#,##0.00_ ;_ * "-"??_ ;_ @_ </c:formatCode>
                <c:ptCount val="9"/>
                <c:pt idx="0">
                  <c:v>5.317191068414524</c:v>
                </c:pt>
                <c:pt idx="1">
                  <c:v>4.9793410364341497</c:v>
                </c:pt>
                <c:pt idx="2">
                  <c:v>6.2076755452802264</c:v>
                </c:pt>
                <c:pt idx="3">
                  <c:v>8.7602888029207495</c:v>
                </c:pt>
                <c:pt idx="4">
                  <c:v>9.0475051842499994</c:v>
                </c:pt>
                <c:pt idx="5">
                  <c:v>9.458765256965</c:v>
                </c:pt>
                <c:pt idx="6">
                  <c:v>10.703546548094998</c:v>
                </c:pt>
                <c:pt idx="7">
                  <c:v>10.5447273238</c:v>
                </c:pt>
                <c:pt idx="8">
                  <c:v>7.8584805293499986</c:v>
                </c:pt>
              </c:numCache>
            </c:numRef>
          </c:val>
          <c:extLst>
            <c:ext xmlns:c16="http://schemas.microsoft.com/office/drawing/2014/chart" uri="{C3380CC4-5D6E-409C-BE32-E72D297353CC}">
              <c16:uniqueId val="{00000008-7E15-42F2-8777-5B3940DE5ACF}"/>
            </c:ext>
          </c:extLst>
        </c:ser>
        <c:ser>
          <c:idx val="9"/>
          <c:order val="9"/>
          <c:tx>
            <c:strRef>
              <c:f>'2'!$B$14</c:f>
              <c:strCache>
                <c:ptCount val="1"/>
                <c:pt idx="0">
                  <c:v>Food &amp; Beverages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'2'!$C$14:$K$14</c:f>
              <c:numCache>
                <c:formatCode>_ * #,##0.00_ ;_ * \-#,##0.00_ ;_ * "-"??_ ;_ @_ </c:formatCode>
                <c:ptCount val="9"/>
                <c:pt idx="0">
                  <c:v>5.1111253754321009</c:v>
                </c:pt>
                <c:pt idx="1">
                  <c:v>4.7947981300836249</c:v>
                </c:pt>
                <c:pt idx="2">
                  <c:v>2.6223166203835997</c:v>
                </c:pt>
                <c:pt idx="3">
                  <c:v>3.0977380214237744</c:v>
                </c:pt>
                <c:pt idx="4">
                  <c:v>5.8785558311674748</c:v>
                </c:pt>
                <c:pt idx="5">
                  <c:v>7.0991605992124249</c:v>
                </c:pt>
                <c:pt idx="6">
                  <c:v>4.7050798093074997</c:v>
                </c:pt>
                <c:pt idx="7">
                  <c:v>4.0085233180150004</c:v>
                </c:pt>
                <c:pt idx="8">
                  <c:v>4.9279933432724992</c:v>
                </c:pt>
              </c:numCache>
            </c:numRef>
          </c:val>
          <c:extLst>
            <c:ext xmlns:c16="http://schemas.microsoft.com/office/drawing/2014/chart" uri="{C3380CC4-5D6E-409C-BE32-E72D297353CC}">
              <c16:uniqueId val="{00000009-7E15-42F2-8777-5B3940DE5ACF}"/>
            </c:ext>
          </c:extLst>
        </c:ser>
        <c:ser>
          <c:idx val="10"/>
          <c:order val="10"/>
          <c:tx>
            <c:strRef>
              <c:f>'2'!$B$15</c:f>
              <c:strCache>
                <c:ptCount val="1"/>
                <c:pt idx="0">
                  <c:v>Pulp, paper and Print</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'2'!$C$15:$K$15</c:f>
              <c:numCache>
                <c:formatCode>_ * #,##0.00_ ;_ * \-#,##0.00_ ;_ * "-"??_ ;_ @_ </c:formatCode>
                <c:ptCount val="9"/>
                <c:pt idx="0">
                  <c:v>6.3304667520625753</c:v>
                </c:pt>
                <c:pt idx="1">
                  <c:v>6.7008051811877252</c:v>
                </c:pt>
                <c:pt idx="2">
                  <c:v>6.0723287585247494</c:v>
                </c:pt>
                <c:pt idx="3">
                  <c:v>6.7140805430742514</c:v>
                </c:pt>
                <c:pt idx="4">
                  <c:v>7.9931301550000011</c:v>
                </c:pt>
                <c:pt idx="5">
                  <c:v>8.6721290400000015</c:v>
                </c:pt>
                <c:pt idx="6">
                  <c:v>7.9764234259999993</c:v>
                </c:pt>
                <c:pt idx="7">
                  <c:v>9.6163874686749988</c:v>
                </c:pt>
                <c:pt idx="8">
                  <c:v>11.420704043445001</c:v>
                </c:pt>
              </c:numCache>
            </c:numRef>
          </c:val>
          <c:extLst>
            <c:ext xmlns:c16="http://schemas.microsoft.com/office/drawing/2014/chart" uri="{C3380CC4-5D6E-409C-BE32-E72D297353CC}">
              <c16:uniqueId val="{0000000A-7E15-42F2-8777-5B3940DE5ACF}"/>
            </c:ext>
          </c:extLst>
        </c:ser>
        <c:ser>
          <c:idx val="11"/>
          <c:order val="11"/>
          <c:tx>
            <c:strRef>
              <c:f>'2'!$B$16</c:f>
              <c:strCache>
                <c:ptCount val="1"/>
                <c:pt idx="0">
                  <c:v>Transport Equipment</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'2'!$C$16:$K$16</c:f>
              <c:numCache>
                <c:formatCode>_ * #,##0.00_ ;_ * \-#,##0.00_ ;_ * "-"??_ ;_ @_ </c:formatCode>
                <c:ptCount val="9"/>
                <c:pt idx="0">
                  <c:v>0.65695107753899995</c:v>
                </c:pt>
                <c:pt idx="1">
                  <c:v>0.75101679468322469</c:v>
                </c:pt>
                <c:pt idx="2">
                  <c:v>0.84201086982337481</c:v>
                </c:pt>
                <c:pt idx="3">
                  <c:v>1.1480371914863499</c:v>
                </c:pt>
                <c:pt idx="4">
                  <c:v>1.6681507107507498</c:v>
                </c:pt>
                <c:pt idx="5">
                  <c:v>2.0822205119079999</c:v>
                </c:pt>
                <c:pt idx="6">
                  <c:v>2.5910803674489999</c:v>
                </c:pt>
                <c:pt idx="7">
                  <c:v>2.1893123862467494</c:v>
                </c:pt>
                <c:pt idx="8">
                  <c:v>4.0244001256807493</c:v>
                </c:pt>
              </c:numCache>
            </c:numRef>
          </c:val>
          <c:extLst>
            <c:ext xmlns:c16="http://schemas.microsoft.com/office/drawing/2014/chart" uri="{C3380CC4-5D6E-409C-BE32-E72D297353CC}">
              <c16:uniqueId val="{0000000B-7E15-42F2-8777-5B3940DE5ACF}"/>
            </c:ext>
          </c:extLst>
        </c:ser>
        <c:ser>
          <c:idx val="12"/>
          <c:order val="12"/>
          <c:tx>
            <c:strRef>
              <c:f>'2'!$B$17</c:f>
              <c:strCache>
                <c:ptCount val="1"/>
                <c:pt idx="0">
                  <c:v>Wood &amp; wood products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'2'!$C$17:$K$17</c:f>
              <c:numCache>
                <c:formatCode>_ * #,##0.00_ ;_ * \-#,##0.00_ ;_ * "-"??_ ;_ @_ </c:formatCode>
                <c:ptCount val="9"/>
                <c:pt idx="0">
                  <c:v>0.1359821125</c:v>
                </c:pt>
                <c:pt idx="1">
                  <c:v>0.12128053120414999</c:v>
                </c:pt>
                <c:pt idx="2">
                  <c:v>8.6359036112450008E-2</c:v>
                </c:pt>
                <c:pt idx="3">
                  <c:v>1.5634586999999998E-2</c:v>
                </c:pt>
                <c:pt idx="4">
                  <c:v>0.16505949507499998</c:v>
                </c:pt>
                <c:pt idx="5">
                  <c:v>0.25664215472500002</c:v>
                </c:pt>
                <c:pt idx="6">
                  <c:v>0.24338973924999999</c:v>
                </c:pt>
                <c:pt idx="7">
                  <c:v>0.25086054168000005</c:v>
                </c:pt>
                <c:pt idx="8">
                  <c:v>0.31320462696690005</c:v>
                </c:pt>
              </c:numCache>
            </c:numRef>
          </c:val>
          <c:extLst>
            <c:ext xmlns:c16="http://schemas.microsoft.com/office/drawing/2014/chart" uri="{C3380CC4-5D6E-409C-BE32-E72D297353CC}">
              <c16:uniqueId val="{0000000C-7E15-42F2-8777-5B3940DE5ACF}"/>
            </c:ext>
          </c:extLst>
        </c:ser>
        <c:ser>
          <c:idx val="13"/>
          <c:order val="13"/>
          <c:tx>
            <c:strRef>
              <c:f>'2'!$B$18</c:f>
              <c:strCache>
                <c:ptCount val="1"/>
                <c:pt idx="0">
                  <c:v>Construction</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'2'!$C$18:$K$18</c:f>
              <c:numCache>
                <c:formatCode>_ * #,##0.00_ ;_ * \-#,##0.00_ ;_ * "-"??_ ;_ @_ </c:formatCode>
                <c:ptCount val="9"/>
                <c:pt idx="0">
                  <c:v>0</c:v>
                </c:pt>
                <c:pt idx="1">
                  <c:v>-7.1925149999999992E-8</c:v>
                </c:pt>
                <c:pt idx="2">
                  <c:v>1.4220496750000001E-4</c:v>
                </c:pt>
                <c:pt idx="3">
                  <c:v>0.19860584391884994</c:v>
                </c:pt>
                <c:pt idx="4">
                  <c:v>0.59498791452999988</c:v>
                </c:pt>
                <c:pt idx="5">
                  <c:v>1.3234024050000001E-3</c:v>
                </c:pt>
                <c:pt idx="6">
                  <c:v>-1.0859655499999999E-4</c:v>
                </c:pt>
                <c:pt idx="7">
                  <c:v>2.5222048604999999E-3</c:v>
                </c:pt>
                <c:pt idx="8">
                  <c:v>7.7275803570000003E-3</c:v>
                </c:pt>
              </c:numCache>
            </c:numRef>
          </c:val>
          <c:extLst>
            <c:ext xmlns:c16="http://schemas.microsoft.com/office/drawing/2014/chart" uri="{C3380CC4-5D6E-409C-BE32-E72D297353CC}">
              <c16:uniqueId val="{0000000D-7E15-42F2-8777-5B3940DE5ACF}"/>
            </c:ext>
          </c:extLst>
        </c:ser>
        <c:ser>
          <c:idx val="14"/>
          <c:order val="14"/>
          <c:tx>
            <c:strRef>
              <c:f>'2'!$B$19</c:f>
              <c:strCache>
                <c:ptCount val="1"/>
                <c:pt idx="0">
                  <c:v>Machinery</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'2'!$C$19:$K$19</c:f>
              <c:numCache>
                <c:formatCode>_ * #,##0.00_ ;_ * \-#,##0.00_ ;_ * "-"??_ ;_ @_ </c:formatCode>
                <c:ptCount val="9"/>
                <c:pt idx="0">
                  <c:v>3.3373317669691995</c:v>
                </c:pt>
                <c:pt idx="1">
                  <c:v>3.4490734086106749</c:v>
                </c:pt>
                <c:pt idx="2">
                  <c:v>3.9510679123694743</c:v>
                </c:pt>
                <c:pt idx="3">
                  <c:v>3.7803189172593252</c:v>
                </c:pt>
                <c:pt idx="4">
                  <c:v>5.0926323849959756</c:v>
                </c:pt>
                <c:pt idx="5">
                  <c:v>9.5460298404558994</c:v>
                </c:pt>
                <c:pt idx="6">
                  <c:v>2.2013444371076996</c:v>
                </c:pt>
                <c:pt idx="7">
                  <c:v>5.3513078748757508</c:v>
                </c:pt>
                <c:pt idx="8">
                  <c:v>9.6289242547922509</c:v>
                </c:pt>
              </c:numCache>
            </c:numRef>
          </c:val>
          <c:extLst>
            <c:ext xmlns:c16="http://schemas.microsoft.com/office/drawing/2014/chart" uri="{C3380CC4-5D6E-409C-BE32-E72D297353CC}">
              <c16:uniqueId val="{0000000E-7E15-42F2-8777-5B3940DE5ACF}"/>
            </c:ext>
          </c:extLst>
        </c:ser>
        <c:ser>
          <c:idx val="15"/>
          <c:order val="15"/>
          <c:tx>
            <c:strRef>
              <c:f>'2'!$B$20</c:f>
              <c:strCache>
                <c:ptCount val="1"/>
                <c:pt idx="0">
                  <c:v>Manufacturing n.e.c (jewellery, sports and musical instruments)</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cat>
            <c:numRef>
              <c:f>'2'!$C$3:$K$3</c:f>
              <c:numCache>
                <c:formatCode>General</c:formatCode>
                <c:ptCount val="9"/>
                <c:pt idx="0">
                  <c:v>2005</c:v>
                </c:pt>
                <c:pt idx="1">
                  <c:v>2006</c:v>
                </c:pt>
                <c:pt idx="2">
                  <c:v>2007</c:v>
                </c:pt>
                <c:pt idx="3">
                  <c:v>2008</c:v>
                </c:pt>
                <c:pt idx="4">
                  <c:v>2009</c:v>
                </c:pt>
                <c:pt idx="5">
                  <c:v>2010</c:v>
                </c:pt>
                <c:pt idx="6">
                  <c:v>2011</c:v>
                </c:pt>
                <c:pt idx="7">
                  <c:v>2012</c:v>
                </c:pt>
                <c:pt idx="8">
                  <c:v>2012</c:v>
                </c:pt>
              </c:numCache>
            </c:numRef>
          </c:cat>
          <c:val>
            <c:numRef>
              <c:f>'2'!$C$20:$K$20</c:f>
              <c:numCache>
                <c:formatCode>_ * #,##0.00_ ;_ * \-#,##0.00_ ;_ * "-"??_ ;_ @_ </c:formatCode>
                <c:ptCount val="9"/>
                <c:pt idx="0">
                  <c:v>0.72190726070397515</c:v>
                </c:pt>
                <c:pt idx="1">
                  <c:v>1.7807540001273252</c:v>
                </c:pt>
                <c:pt idx="2">
                  <c:v>7.6846500465125034E-2</c:v>
                </c:pt>
                <c:pt idx="3">
                  <c:v>-0.21947972000479996</c:v>
                </c:pt>
                <c:pt idx="4">
                  <c:v>-0.2272313376404751</c:v>
                </c:pt>
                <c:pt idx="5">
                  <c:v>1.275020990325</c:v>
                </c:pt>
                <c:pt idx="6">
                  <c:v>1.17028988905</c:v>
                </c:pt>
                <c:pt idx="7">
                  <c:v>2.1440312875675001</c:v>
                </c:pt>
                <c:pt idx="8">
                  <c:v>2.7584156374775</c:v>
                </c:pt>
              </c:numCache>
            </c:numRef>
          </c:val>
          <c:extLst>
            <c:ext xmlns:c16="http://schemas.microsoft.com/office/drawing/2014/chart" uri="{C3380CC4-5D6E-409C-BE32-E72D297353CC}">
              <c16:uniqueId val="{0000000F-7E15-42F2-8777-5B3940DE5ACF}"/>
            </c:ext>
          </c:extLst>
        </c:ser>
        <c:dLbls>
          <c:showLegendKey val="0"/>
          <c:showVal val="0"/>
          <c:showCatName val="0"/>
          <c:showSerName val="0"/>
          <c:showPercent val="0"/>
          <c:showBubbleSize val="0"/>
        </c:dLbls>
        <c:axId val="-2110106048"/>
        <c:axId val="-2075422816"/>
      </c:areaChart>
      <c:catAx>
        <c:axId val="-211010604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075422816"/>
        <c:crosses val="autoZero"/>
        <c:auto val="1"/>
        <c:lblAlgn val="ctr"/>
        <c:lblOffset val="100"/>
        <c:noMultiLvlLbl val="0"/>
      </c:catAx>
      <c:valAx>
        <c:axId val="-207542281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Emissions ('000 tonnes)</a:t>
                </a:r>
              </a:p>
            </c:rich>
          </c:tx>
          <c:overlay val="0"/>
          <c:spPr>
            <a:noFill/>
            <a:ln>
              <a:noFill/>
            </a:ln>
            <a:effectLst/>
          </c:spPr>
        </c:title>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110106048"/>
        <c:crosses val="autoZero"/>
        <c:crossBetween val="midCat"/>
      </c:valAx>
      <c:spPr>
        <a:noFill/>
        <a:ln>
          <a:noFill/>
        </a:ln>
        <a:effectLst/>
      </c:spPr>
    </c:plotArea>
    <c:legend>
      <c:legendPos val="b"/>
      <c:layout>
        <c:manualLayout>
          <c:xMode val="edge"/>
          <c:yMode val="edge"/>
          <c:x val="9.8876950343557105E-2"/>
          <c:y val="0.66495784151737203"/>
          <c:w val="0.66514010816250879"/>
          <c:h val="0.280187190060246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524239804296452E-2"/>
          <c:y val="0.15800179905387887"/>
          <c:w val="0.85070263271126323"/>
          <c:h val="0.68451372303159597"/>
        </c:manualLayout>
      </c:layout>
      <c:barChart>
        <c:barDir val="col"/>
        <c:grouping val="clustered"/>
        <c:varyColors val="0"/>
        <c:ser>
          <c:idx val="0"/>
          <c:order val="0"/>
          <c:tx>
            <c:strRef>
              <c:f>'5'!$C$3</c:f>
              <c:strCache>
                <c:ptCount val="1"/>
                <c:pt idx="0">
                  <c:v>CEEW GHG Emissions (million tonnes)</c:v>
                </c:pt>
              </c:strCache>
            </c:strRef>
          </c:tx>
          <c:spPr>
            <a:ln w="28575">
              <a:noFill/>
            </a:ln>
          </c:spPr>
          <c:invertIfNegative val="0"/>
          <c:cat>
            <c:numRef>
              <c:f>'5'!$B$4:$B$12</c:f>
              <c:numCache>
                <c:formatCode>General</c:formatCode>
                <c:ptCount val="9"/>
                <c:pt idx="0">
                  <c:v>2005</c:v>
                </c:pt>
                <c:pt idx="1">
                  <c:v>2006</c:v>
                </c:pt>
                <c:pt idx="2">
                  <c:v>2007</c:v>
                </c:pt>
                <c:pt idx="3">
                  <c:v>2008</c:v>
                </c:pt>
                <c:pt idx="4">
                  <c:v>2009</c:v>
                </c:pt>
                <c:pt idx="5">
                  <c:v>2010</c:v>
                </c:pt>
                <c:pt idx="6">
                  <c:v>2011</c:v>
                </c:pt>
                <c:pt idx="7">
                  <c:v>2012</c:v>
                </c:pt>
                <c:pt idx="8">
                  <c:v>2013</c:v>
                </c:pt>
              </c:numCache>
            </c:numRef>
          </c:cat>
          <c:val>
            <c:numRef>
              <c:f>'5'!$C$4:$C$12</c:f>
              <c:numCache>
                <c:formatCode>0</c:formatCode>
                <c:ptCount val="9"/>
                <c:pt idx="0">
                  <c:v>315.4412719569055</c:v>
                </c:pt>
                <c:pt idx="1">
                  <c:v>310.88589586801737</c:v>
                </c:pt>
                <c:pt idx="2">
                  <c:v>354.87203832893607</c:v>
                </c:pt>
                <c:pt idx="3">
                  <c:v>416.80874485190816</c:v>
                </c:pt>
                <c:pt idx="4">
                  <c:v>439.20629499135703</c:v>
                </c:pt>
                <c:pt idx="5">
                  <c:v>509.43920234943687</c:v>
                </c:pt>
                <c:pt idx="6">
                  <c:v>538.94607821998852</c:v>
                </c:pt>
                <c:pt idx="7">
                  <c:v>578.73098428972298</c:v>
                </c:pt>
                <c:pt idx="8">
                  <c:v>622.5749828581263</c:v>
                </c:pt>
              </c:numCache>
            </c:numRef>
          </c:val>
          <c:extLst>
            <c:ext xmlns:c16="http://schemas.microsoft.com/office/drawing/2014/chart" uri="{C3380CC4-5D6E-409C-BE32-E72D297353CC}">
              <c16:uniqueId val="{00000000-01F4-4EAF-A6B1-ABBEBF18EF46}"/>
            </c:ext>
          </c:extLst>
        </c:ser>
        <c:dLbls>
          <c:showLegendKey val="0"/>
          <c:showVal val="0"/>
          <c:showCatName val="0"/>
          <c:showSerName val="0"/>
          <c:showPercent val="0"/>
          <c:showBubbleSize val="0"/>
        </c:dLbls>
        <c:gapWidth val="150"/>
        <c:axId val="-2127809536"/>
        <c:axId val="2127066336"/>
      </c:barChart>
      <c:barChart>
        <c:barDir val="col"/>
        <c:grouping val="clustered"/>
        <c:varyColors val="0"/>
        <c:ser>
          <c:idx val="1"/>
          <c:order val="1"/>
          <c:tx>
            <c:strRef>
              <c:f>'5'!$D$3</c:f>
              <c:strCache>
                <c:ptCount val="1"/>
                <c:pt idx="0">
                  <c:v>INCCA (million tonnes)</c:v>
                </c:pt>
              </c:strCache>
            </c:strRef>
          </c:tx>
          <c:invertIfNegative val="0"/>
          <c:val>
            <c:numRef>
              <c:f>'5'!$D$4:$D$12</c:f>
              <c:numCache>
                <c:formatCode>General</c:formatCode>
                <c:ptCount val="9"/>
                <c:pt idx="2" formatCode="0">
                  <c:v>446.20160999999996</c:v>
                </c:pt>
              </c:numCache>
            </c:numRef>
          </c:val>
          <c:extLst>
            <c:ext xmlns:c16="http://schemas.microsoft.com/office/drawing/2014/chart" uri="{C3380CC4-5D6E-409C-BE32-E72D297353CC}">
              <c16:uniqueId val="{00000005-01F4-4EAF-A6B1-ABBEBF18EF46}"/>
            </c:ext>
          </c:extLst>
        </c:ser>
        <c:ser>
          <c:idx val="2"/>
          <c:order val="2"/>
          <c:tx>
            <c:strRef>
              <c:f>'5'!$E$3</c:f>
              <c:strCache>
                <c:ptCount val="1"/>
                <c:pt idx="0">
                  <c:v>BUR (million tonnes)</c:v>
                </c:pt>
              </c:strCache>
            </c:strRef>
          </c:tx>
          <c:invertIfNegative val="0"/>
          <c:val>
            <c:numRef>
              <c:f>'5'!$E$4:$E$12</c:f>
              <c:numCache>
                <c:formatCode>General</c:formatCode>
                <c:ptCount val="9"/>
                <c:pt idx="5" formatCode="0">
                  <c:v>496.69837000000001</c:v>
                </c:pt>
              </c:numCache>
            </c:numRef>
          </c:val>
          <c:extLst>
            <c:ext xmlns:c16="http://schemas.microsoft.com/office/drawing/2014/chart" uri="{C3380CC4-5D6E-409C-BE32-E72D297353CC}">
              <c16:uniqueId val="{00000006-01F4-4EAF-A6B1-ABBEBF18EF46}"/>
            </c:ext>
          </c:extLst>
        </c:ser>
        <c:dLbls>
          <c:showLegendKey val="0"/>
          <c:showVal val="0"/>
          <c:showCatName val="0"/>
          <c:showSerName val="0"/>
          <c:showPercent val="0"/>
          <c:showBubbleSize val="0"/>
        </c:dLbls>
        <c:gapWidth val="150"/>
        <c:axId val="506989472"/>
        <c:axId val="506986848"/>
      </c:barChart>
      <c:catAx>
        <c:axId val="-2127809536"/>
        <c:scaling>
          <c:orientation val="minMax"/>
        </c:scaling>
        <c:delete val="0"/>
        <c:axPos val="b"/>
        <c:title>
          <c:tx>
            <c:rich>
              <a:bodyPr rot="0" vert="horz"/>
              <a:lstStyle/>
              <a:p>
                <a:pPr>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vert="horz"/>
          <a:lstStyle/>
          <a:p>
            <a:pPr>
              <a:defRPr/>
            </a:pPr>
            <a:endParaRPr lang="en-US"/>
          </a:p>
        </c:txPr>
        <c:crossAx val="2127066336"/>
        <c:crosses val="autoZero"/>
        <c:auto val="1"/>
        <c:lblAlgn val="ctr"/>
        <c:lblOffset val="100"/>
        <c:noMultiLvlLbl val="1"/>
      </c:catAx>
      <c:valAx>
        <c:axId val="2127066336"/>
        <c:scaling>
          <c:orientation val="minMax"/>
        </c:scaling>
        <c:delete val="0"/>
        <c:axPos val="l"/>
        <c:title>
          <c:tx>
            <c:rich>
              <a:bodyPr rot="-5400000" vert="horz"/>
              <a:lstStyle/>
              <a:p>
                <a:pPr>
                  <a:defRPr/>
                </a:pPr>
                <a:r>
                  <a:rPr lang="en-US"/>
                  <a:t>CO2eq emissions (million tonnes)</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vert="horz"/>
          <a:lstStyle/>
          <a:p>
            <a:pPr>
              <a:defRPr/>
            </a:pPr>
            <a:endParaRPr lang="en-US"/>
          </a:p>
        </c:txPr>
        <c:crossAx val="-2127809536"/>
        <c:crosses val="autoZero"/>
        <c:crossBetween val="between"/>
      </c:valAx>
      <c:valAx>
        <c:axId val="506986848"/>
        <c:scaling>
          <c:orientation val="minMax"/>
          <c:min val="0"/>
        </c:scaling>
        <c:delete val="0"/>
        <c:axPos val="r"/>
        <c:title>
          <c:tx>
            <c:rich>
              <a:bodyPr/>
              <a:lstStyle/>
              <a:p>
                <a:pPr>
                  <a:defRPr/>
                </a:pPr>
                <a:r>
                  <a:rPr lang="en-IN"/>
                  <a:t>CO2eq  emissions (million tonnes)</a:t>
                </a:r>
              </a:p>
            </c:rich>
          </c:tx>
          <c:overlay val="0"/>
        </c:title>
        <c:numFmt formatCode="General" sourceLinked="1"/>
        <c:majorTickMark val="out"/>
        <c:minorTickMark val="none"/>
        <c:tickLblPos val="nextTo"/>
        <c:crossAx val="506989472"/>
        <c:crosses val="max"/>
        <c:crossBetween val="between"/>
      </c:valAx>
      <c:catAx>
        <c:axId val="506989472"/>
        <c:scaling>
          <c:orientation val="minMax"/>
        </c:scaling>
        <c:delete val="1"/>
        <c:axPos val="b"/>
        <c:majorTickMark val="out"/>
        <c:minorTickMark val="none"/>
        <c:tickLblPos val="nextTo"/>
        <c:crossAx val="506986848"/>
        <c:crosses val="autoZero"/>
        <c:auto val="1"/>
        <c:lblAlgn val="ctr"/>
        <c:lblOffset val="100"/>
        <c:noMultiLvlLbl val="0"/>
      </c:catAx>
      <c:spPr>
        <a:noFill/>
        <a:ln>
          <a:noFill/>
        </a:ln>
        <a:effectLst/>
      </c:spPr>
    </c:plotArea>
    <c:legend>
      <c:legendPos val="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tabColor rgb="FF92D050"/>
  </sheetPr>
  <sheetViews>
    <sheetView zoomScale="51" workbookViewId="0"/>
  </sheetViews>
  <pageMargins left="0.7" right="0.7" top="0.75" bottom="0.75" header="0.3" footer="0.3"/>
  <pageSetup paperSize="9" orientation="landscape"/>
  <drawing r:id="rId1"/>
</chartsheet>
</file>

<file path=xl/drawings/_rels/drawing1.xml.rels><?xml version="1.0" encoding="UTF-8" standalone="yes"?>
<Relationships xmlns="http://schemas.openxmlformats.org/package/2006/relationships"><Relationship Id="rId3" Type="http://schemas.openxmlformats.org/officeDocument/2006/relationships/hyperlink" Target="http://ceew.in" TargetMode="External"/><Relationship Id="rId2" Type="http://schemas.openxmlformats.org/officeDocument/2006/relationships/hyperlink" Target="http://ghgplatform-india.org/" TargetMode="External"/><Relationship Id="rId1" Type="http://schemas.openxmlformats.org/officeDocument/2006/relationships/image" Target="../media/image1.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1467</xdr:colOff>
      <xdr:row>7</xdr:row>
      <xdr:rowOff>60254</xdr:rowOff>
    </xdr:to>
    <xdr:pic>
      <xdr:nvPicPr>
        <xdr:cNvPr id="2" name="Picture 1">
          <a:extLst>
            <a:ext uri="{FF2B5EF4-FFF2-40B4-BE49-F238E27FC236}">
              <a16:creationId xmlns:a16="http://schemas.microsoft.com/office/drawing/2014/main" id="{850D61BF-4C28-484C-8E78-51AD369E7A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38250"/>
          <a:ext cx="1467" cy="574604"/>
        </a:xfrm>
        <a:prstGeom prst="rect">
          <a:avLst/>
        </a:prstGeom>
      </xdr:spPr>
    </xdr:pic>
    <xdr:clientData/>
  </xdr:twoCellAnchor>
  <xdr:twoCellAnchor editAs="oneCell">
    <xdr:from>
      <xdr:col>1</xdr:col>
      <xdr:colOff>1519465</xdr:colOff>
      <xdr:row>1</xdr:row>
      <xdr:rowOff>124733</xdr:rowOff>
    </xdr:from>
    <xdr:to>
      <xdr:col>1</xdr:col>
      <xdr:colOff>3227615</xdr:colOff>
      <xdr:row>5</xdr:row>
      <xdr:rowOff>102054</xdr:rowOff>
    </xdr:to>
    <xdr:pic>
      <xdr:nvPicPr>
        <xdr:cNvPr id="3" name="Picture 2">
          <a:hlinkClick xmlns:r="http://schemas.openxmlformats.org/officeDocument/2006/relationships" r:id="rId2"/>
          <a:extLst>
            <a:ext uri="{FF2B5EF4-FFF2-40B4-BE49-F238E27FC236}">
              <a16:creationId xmlns:a16="http://schemas.microsoft.com/office/drawing/2014/main" id="{29098F88-97D8-42B9-8217-BFCFBCF76A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0015" y="372383"/>
          <a:ext cx="1708150" cy="967921"/>
        </a:xfrm>
        <a:prstGeom prst="rect">
          <a:avLst/>
        </a:prstGeom>
      </xdr:spPr>
    </xdr:pic>
    <xdr:clientData/>
  </xdr:twoCellAnchor>
  <xdr:twoCellAnchor>
    <xdr:from>
      <xdr:col>2</xdr:col>
      <xdr:colOff>0</xdr:colOff>
      <xdr:row>0</xdr:row>
      <xdr:rowOff>217715</xdr:rowOff>
    </xdr:from>
    <xdr:to>
      <xdr:col>2</xdr:col>
      <xdr:colOff>0</xdr:colOff>
      <xdr:row>5</xdr:row>
      <xdr:rowOff>136072</xdr:rowOff>
    </xdr:to>
    <xdr:cxnSp macro="">
      <xdr:nvCxnSpPr>
        <xdr:cNvPr id="4" name="Straight Connector 3">
          <a:extLst>
            <a:ext uri="{FF2B5EF4-FFF2-40B4-BE49-F238E27FC236}">
              <a16:creationId xmlns:a16="http://schemas.microsoft.com/office/drawing/2014/main" id="{587E8F5D-317A-45A2-9306-5B0221FA7A6E}"/>
            </a:ext>
          </a:extLst>
        </xdr:cNvPr>
        <xdr:cNvCxnSpPr/>
      </xdr:nvCxnSpPr>
      <xdr:spPr>
        <a:xfrm>
          <a:off x="4124325" y="217715"/>
          <a:ext cx="0" cy="1156607"/>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163286</xdr:colOff>
      <xdr:row>0</xdr:row>
      <xdr:rowOff>204107</xdr:rowOff>
    </xdr:from>
    <xdr:to>
      <xdr:col>2</xdr:col>
      <xdr:colOff>2603500</xdr:colOff>
      <xdr:row>5</xdr:row>
      <xdr:rowOff>163286</xdr:rowOff>
    </xdr:to>
    <xdr:pic>
      <xdr:nvPicPr>
        <xdr:cNvPr id="5" name="Picture 4">
          <a:hlinkClick xmlns:r="http://schemas.openxmlformats.org/officeDocument/2006/relationships" r:id="rId3"/>
          <a:extLst>
            <a:ext uri="{FF2B5EF4-FFF2-40B4-BE49-F238E27FC236}">
              <a16:creationId xmlns:a16="http://schemas.microsoft.com/office/drawing/2014/main" id="{788C2AAC-616D-4F45-8E45-08FDD7C98796}"/>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3158" r="733"/>
        <a:stretch/>
      </xdr:blipFill>
      <xdr:spPr bwMode="auto">
        <a:xfrm>
          <a:off x="4287611" y="204107"/>
          <a:ext cx="2440214" cy="119742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82206" cy="605117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6</xdr:col>
      <xdr:colOff>346358</xdr:colOff>
      <xdr:row>2</xdr:row>
      <xdr:rowOff>39448</xdr:rowOff>
    </xdr:from>
    <xdr:to>
      <xdr:col>18</xdr:col>
      <xdr:colOff>246944</xdr:colOff>
      <xdr:row>29</xdr:row>
      <xdr:rowOff>23517</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aibhav.gupta@ceew.in?subject=GHG%20Platform%20India:%20Query%20on%20manufacturing%20sector%20emission%20estimates"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8" Type="http://schemas.openxmlformats.org/officeDocument/2006/relationships/hyperlink" Target="http://ibm.nic.in/writereaddata/files/01192015114407IMYB_2013_Vol%20III_Cement%202013.pdf" TargetMode="External"/><Relationship Id="rId13" Type="http://schemas.openxmlformats.org/officeDocument/2006/relationships/hyperlink" Target="http://www.mcxindia.com/downloads/overview/PDF/2010/Non-Agricultural/Aluminium.pdf" TargetMode="External"/><Relationship Id="rId18" Type="http://schemas.openxmlformats.org/officeDocument/2006/relationships/hyperlink" Target="http://www.cmaindia.org/activities/Publications-and-Periodicals.html" TargetMode="External"/><Relationship Id="rId3" Type="http://schemas.openxmlformats.org/officeDocument/2006/relationships/hyperlink" Target="http://ibm.nic.in/writereaddata/files/01192015114407IMYB_2013_Vol%20III_Cement%202013.pdf" TargetMode="External"/><Relationship Id="rId21" Type="http://schemas.openxmlformats.org/officeDocument/2006/relationships/hyperlink" Target="http://ibm.nic.in/writereaddata/files/05282015122910Aluminium%20&amp;%20Alumina_2013.pdf" TargetMode="External"/><Relationship Id="rId7" Type="http://schemas.openxmlformats.org/officeDocument/2006/relationships/hyperlink" Target="http://ibm.nic.in/writereaddata/files/01192015114407IMYB_2013_Vol%20III_Cement%202013.pdf" TargetMode="External"/><Relationship Id="rId12" Type="http://schemas.openxmlformats.org/officeDocument/2006/relationships/hyperlink" Target="http://ibm.nic.in/writereaddata/files/05282015122910Aluminium%20&amp;%20Alumina_2013.pdf" TargetMode="External"/><Relationship Id="rId17" Type="http://schemas.openxmlformats.org/officeDocument/2006/relationships/hyperlink" Target="http://www.cmaindia.org/activities/Publications-and-Periodicals.html" TargetMode="External"/><Relationship Id="rId2" Type="http://schemas.openxmlformats.org/officeDocument/2006/relationships/hyperlink" Target="http://ibm.nic.in/writereaddata/files/01192015114407IMYB_2013_Vol%20III_Cement%202013.pdf" TargetMode="External"/><Relationship Id="rId16" Type="http://schemas.openxmlformats.org/officeDocument/2006/relationships/hyperlink" Target="http://www.ccl.gov.in/finc/pdf/annual_report/a_rep_2006_07.pdf" TargetMode="External"/><Relationship Id="rId20" Type="http://schemas.openxmlformats.org/officeDocument/2006/relationships/hyperlink" Target="http://ibm.nic.in/writereaddata/files/05312016123226Final_IMYB-Aluminium%20&amp;%20Alumina-2014.pdf" TargetMode="External"/><Relationship Id="rId1" Type="http://schemas.openxmlformats.org/officeDocument/2006/relationships/hyperlink" Target="http://ibm.nic.in/writereaddata/files/07072014112401marketsurvey_leadandzinc.pdf" TargetMode="External"/><Relationship Id="rId6" Type="http://schemas.openxmlformats.org/officeDocument/2006/relationships/hyperlink" Target="http://www.cmaindia.org/activities/Publications-and-Periodicals.html" TargetMode="External"/><Relationship Id="rId11" Type="http://schemas.openxmlformats.org/officeDocument/2006/relationships/hyperlink" Target="http://ibm.nic.in/writereaddata/files/05282015122910Aluminium%20&amp;%20Alumina_2013.pdf" TargetMode="External"/><Relationship Id="rId24" Type="http://schemas.openxmlformats.org/officeDocument/2006/relationships/hyperlink" Target="http://ibm.nic.in/writereaddata/files/07072014112401marketsurvey_leadandzinc.pdf" TargetMode="External"/><Relationship Id="rId5" Type="http://schemas.openxmlformats.org/officeDocument/2006/relationships/hyperlink" Target="http://ibm.nic.in/writereaddata/files/05282015123116Lead%20&amp;%20zinc_2013.pdf" TargetMode="External"/><Relationship Id="rId15" Type="http://schemas.openxmlformats.org/officeDocument/2006/relationships/hyperlink" Target="http://ibm.nic.in/writereaddata/files/01192015114407IMYB_2013_Vol%20III_Cement%202013.pdf" TargetMode="External"/><Relationship Id="rId23" Type="http://schemas.openxmlformats.org/officeDocument/2006/relationships/hyperlink" Target="https://minerals.usgs.gov/minerals/pubs/country/2005/inmyb05.pdf" TargetMode="External"/><Relationship Id="rId10" Type="http://schemas.openxmlformats.org/officeDocument/2006/relationships/hyperlink" Target="http://ibm.nic.in/writereaddata/files/07092014130344IMYB-2012-%20Aluminium%20&amp;%20Alumina.pdf" TargetMode="External"/><Relationship Id="rId19" Type="http://schemas.openxmlformats.org/officeDocument/2006/relationships/hyperlink" Target="http://chemicals.nic.in/sites/default/files/MLCPCSTAT14_2.pdf" TargetMode="External"/><Relationship Id="rId4" Type="http://schemas.openxmlformats.org/officeDocument/2006/relationships/hyperlink" Target="http://www.cmaindia.org/activities/Publications-and-Periodicals.html" TargetMode="External"/><Relationship Id="rId9" Type="http://schemas.openxmlformats.org/officeDocument/2006/relationships/hyperlink" Target="http://ibm.nic.in/writereaddata/files/07092014130344IMYB-2012-%20Aluminium%20&amp;%20Alumina.pdf" TargetMode="External"/><Relationship Id="rId14" Type="http://schemas.openxmlformats.org/officeDocument/2006/relationships/hyperlink" Target="http://www.mcxindia.com/downloads/overview/PDF/2010/Non-Agricultural/Aluminium.pdf" TargetMode="External"/><Relationship Id="rId22" Type="http://schemas.openxmlformats.org/officeDocument/2006/relationships/hyperlink" Target="http://ibm.nic.in/writereaddata/files/05312016123734Final_IMYB-Lead%20&amp;%20Zinc-20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62"/>
  <sheetViews>
    <sheetView tabSelected="1" zoomScale="50" zoomScaleNormal="50" workbookViewId="0">
      <selection activeCell="C11" sqref="C11"/>
    </sheetView>
  </sheetViews>
  <sheetFormatPr defaultColWidth="8.85546875" defaultRowHeight="19.5" x14ac:dyDescent="0.3"/>
  <cols>
    <col min="1" max="1" width="8.85546875" style="4"/>
    <col min="2" max="2" width="53" style="4" customWidth="1"/>
    <col min="3" max="3" width="237.140625" style="4" customWidth="1"/>
    <col min="4" max="16384" width="8.85546875" style="4"/>
  </cols>
  <sheetData>
    <row r="2" spans="1:28" x14ac:dyDescent="0.3">
      <c r="A2" s="1"/>
      <c r="B2" s="1"/>
      <c r="C2" s="163"/>
      <c r="D2" s="3"/>
      <c r="E2" s="3"/>
      <c r="F2" s="3"/>
      <c r="G2" s="3"/>
      <c r="H2" s="3"/>
      <c r="I2" s="3"/>
      <c r="J2" s="3"/>
      <c r="K2" s="3"/>
      <c r="L2" s="3"/>
      <c r="M2" s="3"/>
      <c r="N2" s="3"/>
      <c r="O2" s="3"/>
      <c r="P2" s="3"/>
      <c r="Q2" s="3"/>
      <c r="R2" s="3"/>
      <c r="S2" s="3"/>
      <c r="T2" s="3"/>
      <c r="U2" s="3"/>
      <c r="V2" s="3"/>
      <c r="W2" s="3"/>
      <c r="X2" s="3"/>
      <c r="Y2" s="3"/>
      <c r="Z2" s="3"/>
      <c r="AA2" s="3"/>
      <c r="AB2" s="3"/>
    </row>
    <row r="3" spans="1:28" x14ac:dyDescent="0.3">
      <c r="A3" s="1"/>
      <c r="B3" s="2"/>
      <c r="C3" s="2"/>
      <c r="D3" s="3"/>
      <c r="E3" s="3"/>
      <c r="F3" s="3"/>
      <c r="G3" s="3"/>
      <c r="H3" s="3"/>
      <c r="I3" s="3"/>
      <c r="J3" s="3"/>
      <c r="K3" s="3"/>
      <c r="L3" s="3"/>
      <c r="M3" s="3"/>
      <c r="N3" s="3"/>
      <c r="O3" s="3"/>
      <c r="P3" s="3"/>
      <c r="Q3" s="3"/>
      <c r="R3" s="3"/>
      <c r="S3" s="3"/>
      <c r="T3" s="3"/>
      <c r="U3" s="3"/>
      <c r="V3" s="3"/>
      <c r="W3" s="3"/>
      <c r="X3" s="3"/>
      <c r="Y3" s="3"/>
      <c r="Z3" s="3"/>
      <c r="AA3" s="3"/>
      <c r="AB3" s="3"/>
    </row>
    <row r="4" spans="1:28" x14ac:dyDescent="0.3">
      <c r="A4" s="1"/>
      <c r="B4" s="1"/>
      <c r="C4" s="2"/>
      <c r="D4" s="3"/>
      <c r="E4" s="3"/>
      <c r="F4" s="3"/>
      <c r="G4" s="3"/>
      <c r="H4" s="3"/>
      <c r="I4" s="3"/>
      <c r="J4" s="3"/>
      <c r="K4" s="3"/>
      <c r="L4" s="3"/>
      <c r="M4" s="3"/>
      <c r="N4" s="3"/>
      <c r="O4" s="3"/>
      <c r="P4" s="3"/>
      <c r="Q4" s="3"/>
      <c r="R4" s="3"/>
      <c r="S4" s="3"/>
      <c r="T4" s="3"/>
      <c r="U4" s="3"/>
      <c r="V4" s="3"/>
      <c r="W4" s="3"/>
      <c r="X4" s="3"/>
      <c r="Y4" s="3"/>
      <c r="Z4" s="3"/>
      <c r="AA4" s="3"/>
      <c r="AB4" s="3"/>
    </row>
    <row r="5" spans="1:28" x14ac:dyDescent="0.3">
      <c r="A5" s="1"/>
      <c r="B5" s="1"/>
      <c r="C5" s="2"/>
      <c r="D5" s="3"/>
      <c r="E5" s="3"/>
      <c r="F5" s="3"/>
      <c r="G5" s="3"/>
      <c r="H5" s="3"/>
      <c r="I5" s="3"/>
      <c r="J5" s="3"/>
      <c r="K5" s="3"/>
      <c r="L5" s="3"/>
      <c r="M5" s="3"/>
      <c r="N5" s="3"/>
      <c r="O5" s="3"/>
      <c r="P5" s="3"/>
      <c r="Q5" s="3"/>
      <c r="R5" s="3"/>
      <c r="S5" s="3"/>
      <c r="T5" s="3"/>
      <c r="U5" s="3"/>
      <c r="V5" s="3"/>
      <c r="W5" s="3"/>
      <c r="X5" s="3"/>
      <c r="Y5" s="3"/>
      <c r="Z5" s="3"/>
      <c r="AA5" s="3"/>
      <c r="AB5" s="3"/>
    </row>
    <row r="6" spans="1:28" ht="20.25" thickBot="1" x14ac:dyDescent="0.35">
      <c r="A6" s="1"/>
      <c r="B6" s="5"/>
      <c r="C6" s="6"/>
      <c r="D6" s="3"/>
      <c r="E6" s="3"/>
      <c r="F6" s="3"/>
      <c r="G6" s="3"/>
      <c r="H6" s="3"/>
      <c r="I6" s="3"/>
      <c r="J6" s="3"/>
      <c r="K6" s="3"/>
      <c r="L6" s="3"/>
      <c r="M6" s="3"/>
      <c r="N6" s="3"/>
      <c r="O6" s="3"/>
      <c r="P6" s="3"/>
      <c r="Q6" s="3"/>
      <c r="R6" s="3"/>
      <c r="S6" s="3"/>
      <c r="T6" s="3"/>
      <c r="U6" s="3"/>
      <c r="V6" s="3"/>
      <c r="W6" s="3"/>
      <c r="X6" s="3"/>
      <c r="Y6" s="3"/>
      <c r="Z6" s="3"/>
      <c r="AA6" s="3"/>
      <c r="AB6" s="3"/>
    </row>
    <row r="7" spans="1:28" ht="20.25" thickBot="1" x14ac:dyDescent="0.35">
      <c r="A7" s="1"/>
      <c r="B7" s="173" t="s">
        <v>290</v>
      </c>
      <c r="C7" s="182" t="s">
        <v>326</v>
      </c>
      <c r="D7" s="3"/>
      <c r="E7" s="3"/>
      <c r="F7" s="3"/>
      <c r="G7" s="3"/>
      <c r="H7" s="3"/>
      <c r="I7" s="3"/>
      <c r="J7" s="3"/>
      <c r="K7" s="3"/>
      <c r="L7" s="3"/>
      <c r="M7" s="3"/>
      <c r="N7" s="3"/>
      <c r="O7" s="3"/>
      <c r="P7" s="3"/>
      <c r="Q7" s="3"/>
      <c r="R7" s="3"/>
      <c r="S7" s="3"/>
      <c r="T7" s="3"/>
      <c r="U7" s="3"/>
      <c r="V7" s="3"/>
      <c r="W7" s="3"/>
      <c r="X7" s="3"/>
      <c r="Y7" s="3"/>
      <c r="Z7" s="3"/>
      <c r="AA7" s="3"/>
      <c r="AB7" s="3"/>
    </row>
    <row r="8" spans="1:28" x14ac:dyDescent="0.3">
      <c r="A8" s="1"/>
      <c r="B8" s="174" t="s">
        <v>291</v>
      </c>
      <c r="C8" s="164" t="s">
        <v>328</v>
      </c>
      <c r="D8" s="3"/>
      <c r="E8" s="3"/>
      <c r="F8" s="3"/>
      <c r="G8" s="3"/>
      <c r="H8" s="3"/>
      <c r="I8" s="3"/>
      <c r="J8" s="3"/>
      <c r="K8" s="3"/>
      <c r="L8" s="3"/>
      <c r="M8" s="3"/>
      <c r="N8" s="3"/>
      <c r="O8" s="3"/>
      <c r="P8" s="3"/>
      <c r="Q8" s="3"/>
      <c r="R8" s="3"/>
      <c r="S8" s="3"/>
      <c r="T8" s="3"/>
      <c r="U8" s="3"/>
      <c r="V8" s="3"/>
      <c r="W8" s="3"/>
      <c r="X8" s="3"/>
      <c r="Y8" s="3"/>
      <c r="Z8" s="3"/>
      <c r="AA8" s="3"/>
      <c r="AB8" s="3"/>
    </row>
    <row r="9" spans="1:28" x14ac:dyDescent="0.3">
      <c r="A9" s="1"/>
      <c r="B9" s="175" t="s">
        <v>292</v>
      </c>
      <c r="C9" s="165" t="s">
        <v>314</v>
      </c>
      <c r="D9" s="3"/>
      <c r="E9" s="3"/>
      <c r="F9" s="3"/>
      <c r="G9" s="3"/>
      <c r="H9" s="3"/>
      <c r="I9" s="3"/>
      <c r="J9" s="3"/>
      <c r="K9" s="3"/>
      <c r="L9" s="3"/>
      <c r="M9" s="3"/>
      <c r="N9" s="3"/>
      <c r="O9" s="3"/>
      <c r="P9" s="3"/>
      <c r="Q9" s="3"/>
      <c r="R9" s="3"/>
      <c r="S9" s="3"/>
      <c r="T9" s="3"/>
      <c r="U9" s="3"/>
      <c r="V9" s="3"/>
      <c r="W9" s="3"/>
      <c r="X9" s="3"/>
      <c r="Y9" s="3"/>
      <c r="Z9" s="3"/>
      <c r="AA9" s="3"/>
      <c r="AB9" s="3"/>
    </row>
    <row r="10" spans="1:28" x14ac:dyDescent="0.3">
      <c r="A10" s="1"/>
      <c r="B10" s="176" t="s">
        <v>293</v>
      </c>
      <c r="C10" s="165" t="s">
        <v>315</v>
      </c>
      <c r="D10" s="3"/>
      <c r="E10" s="3"/>
      <c r="F10" s="3"/>
      <c r="G10" s="3"/>
      <c r="H10" s="3"/>
      <c r="I10" s="3"/>
      <c r="J10" s="3"/>
      <c r="K10" s="3"/>
      <c r="L10" s="3"/>
      <c r="M10" s="3"/>
      <c r="N10" s="3"/>
      <c r="O10" s="3"/>
      <c r="P10" s="3"/>
      <c r="Q10" s="3"/>
      <c r="R10" s="3"/>
      <c r="S10" s="3"/>
      <c r="T10" s="3"/>
      <c r="U10" s="3"/>
      <c r="V10" s="3"/>
      <c r="W10" s="3"/>
      <c r="X10" s="3"/>
      <c r="Y10" s="3"/>
      <c r="Z10" s="3"/>
      <c r="AA10" s="3"/>
      <c r="AB10" s="3"/>
    </row>
    <row r="11" spans="1:28" x14ac:dyDescent="0.3">
      <c r="A11" s="1"/>
      <c r="B11" s="176" t="s">
        <v>316</v>
      </c>
      <c r="C11" s="166" t="s">
        <v>325</v>
      </c>
      <c r="D11" s="3"/>
      <c r="E11" s="3"/>
      <c r="F11" s="3"/>
      <c r="G11" s="3"/>
      <c r="H11" s="3"/>
      <c r="I11" s="3"/>
      <c r="J11" s="3"/>
      <c r="K11" s="3"/>
      <c r="L11" s="3"/>
      <c r="M11" s="3"/>
      <c r="N11" s="3"/>
      <c r="O11" s="3"/>
      <c r="P11" s="3"/>
      <c r="Q11" s="3"/>
      <c r="R11" s="3"/>
      <c r="S11" s="3"/>
      <c r="T11" s="3"/>
      <c r="U11" s="3"/>
      <c r="V11" s="3"/>
      <c r="W11" s="3"/>
      <c r="X11" s="3"/>
      <c r="Y11" s="3"/>
      <c r="Z11" s="3"/>
      <c r="AA11" s="3"/>
      <c r="AB11" s="3"/>
    </row>
    <row r="12" spans="1:28" ht="117" x14ac:dyDescent="0.3">
      <c r="A12" s="1"/>
      <c r="B12" s="176" t="s">
        <v>317</v>
      </c>
      <c r="C12" s="167" t="s">
        <v>318</v>
      </c>
      <c r="D12" s="3"/>
      <c r="E12" s="3"/>
      <c r="F12" s="3"/>
      <c r="G12" s="3"/>
      <c r="H12" s="3"/>
      <c r="I12" s="3"/>
      <c r="J12" s="3"/>
      <c r="K12" s="3"/>
      <c r="L12" s="3"/>
      <c r="M12" s="3"/>
      <c r="N12" s="3"/>
      <c r="O12" s="3"/>
      <c r="P12" s="3"/>
      <c r="Q12" s="3"/>
      <c r="R12" s="3"/>
      <c r="S12" s="3"/>
      <c r="T12" s="3"/>
      <c r="U12" s="3"/>
      <c r="V12" s="3"/>
      <c r="W12" s="3"/>
      <c r="X12" s="3"/>
      <c r="Y12" s="3"/>
      <c r="Z12" s="3"/>
      <c r="AA12" s="3"/>
      <c r="AB12" s="3"/>
    </row>
    <row r="13" spans="1:28" ht="58.5" x14ac:dyDescent="0.3">
      <c r="A13" s="1"/>
      <c r="B13" s="177" t="s">
        <v>294</v>
      </c>
      <c r="C13" s="168" t="s">
        <v>319</v>
      </c>
      <c r="D13" s="3"/>
      <c r="E13" s="3"/>
      <c r="F13" s="3"/>
      <c r="G13" s="3"/>
      <c r="H13" s="3"/>
      <c r="I13" s="3"/>
      <c r="J13" s="3"/>
      <c r="K13" s="3"/>
      <c r="L13" s="3"/>
      <c r="M13" s="3"/>
      <c r="N13" s="3"/>
      <c r="O13" s="3"/>
      <c r="P13" s="3"/>
      <c r="Q13" s="3"/>
      <c r="R13" s="3"/>
      <c r="S13" s="3"/>
      <c r="T13" s="3"/>
      <c r="U13" s="3"/>
      <c r="V13" s="3"/>
      <c r="W13" s="3"/>
      <c r="X13" s="3"/>
      <c r="Y13" s="3"/>
      <c r="Z13" s="3"/>
      <c r="AA13" s="3"/>
      <c r="AB13" s="3"/>
    </row>
    <row r="14" spans="1:28" ht="20.25" thickBot="1" x14ac:dyDescent="0.35">
      <c r="A14" s="1"/>
      <c r="B14" s="177" t="s">
        <v>320</v>
      </c>
      <c r="C14" s="169" t="s">
        <v>321</v>
      </c>
      <c r="D14" s="3"/>
      <c r="E14" s="3"/>
      <c r="F14" s="3"/>
      <c r="G14" s="3"/>
      <c r="H14" s="3"/>
      <c r="I14" s="3"/>
      <c r="J14" s="3"/>
      <c r="K14" s="3"/>
      <c r="L14" s="3"/>
      <c r="M14" s="3"/>
      <c r="N14" s="3"/>
      <c r="O14" s="3"/>
      <c r="P14" s="3"/>
      <c r="Q14" s="3"/>
      <c r="R14" s="3"/>
      <c r="S14" s="3"/>
      <c r="T14" s="3"/>
      <c r="U14" s="3"/>
      <c r="V14" s="3"/>
      <c r="W14" s="3"/>
      <c r="X14" s="3"/>
      <c r="Y14" s="3"/>
      <c r="Z14" s="3"/>
      <c r="AA14" s="3"/>
      <c r="AB14" s="3"/>
    </row>
    <row r="15" spans="1:28" ht="21.75" thickBot="1" x14ac:dyDescent="0.4">
      <c r="A15" s="1"/>
      <c r="B15" s="178" t="s">
        <v>295</v>
      </c>
      <c r="C15" s="170" t="s">
        <v>322</v>
      </c>
      <c r="D15" s="7"/>
      <c r="E15" s="3"/>
      <c r="F15" s="3"/>
      <c r="G15" s="3"/>
    </row>
    <row r="16" spans="1:28" ht="97.5" x14ac:dyDescent="0.3">
      <c r="A16" s="1"/>
      <c r="B16" s="176" t="s">
        <v>296</v>
      </c>
      <c r="C16" s="171" t="s">
        <v>327</v>
      </c>
      <c r="D16" s="3"/>
      <c r="E16" s="3"/>
      <c r="F16" s="3"/>
      <c r="G16" s="3"/>
    </row>
    <row r="17" spans="1:7" ht="58.5" x14ac:dyDescent="0.3">
      <c r="A17" s="1"/>
      <c r="B17" s="177" t="s">
        <v>297</v>
      </c>
      <c r="C17" s="166" t="s">
        <v>323</v>
      </c>
      <c r="D17" s="3"/>
      <c r="E17" s="3"/>
      <c r="F17" s="3"/>
      <c r="G17" s="3"/>
    </row>
    <row r="18" spans="1:7" ht="78.75" thickBot="1" x14ac:dyDescent="0.35">
      <c r="A18" s="1"/>
      <c r="B18" s="179" t="s">
        <v>298</v>
      </c>
      <c r="C18" s="172" t="s">
        <v>299</v>
      </c>
      <c r="D18" s="3"/>
      <c r="E18" s="3"/>
      <c r="F18" s="3"/>
      <c r="G18" s="3"/>
    </row>
    <row r="19" spans="1:7" x14ac:dyDescent="0.3">
      <c r="A19" s="1"/>
      <c r="B19" s="1"/>
      <c r="C19" s="1"/>
      <c r="D19" s="3"/>
      <c r="E19" s="3"/>
      <c r="F19" s="3"/>
      <c r="G19" s="3"/>
    </row>
    <row r="20" spans="1:7" x14ac:dyDescent="0.3">
      <c r="A20" s="1"/>
      <c r="B20" s="1"/>
      <c r="C20" s="1"/>
      <c r="D20" s="3"/>
      <c r="E20" s="3"/>
      <c r="F20" s="3"/>
      <c r="G20" s="3"/>
    </row>
    <row r="21" spans="1:7" x14ac:dyDescent="0.3">
      <c r="A21" s="1"/>
      <c r="B21" s="1"/>
      <c r="C21" s="1"/>
      <c r="D21" s="3"/>
      <c r="E21" s="3"/>
      <c r="F21" s="3"/>
      <c r="G21" s="3"/>
    </row>
    <row r="22" spans="1:7" x14ac:dyDescent="0.3">
      <c r="A22" s="1"/>
      <c r="B22" s="1"/>
      <c r="C22" s="1"/>
      <c r="D22" s="3"/>
      <c r="E22" s="3"/>
      <c r="F22" s="3"/>
      <c r="G22" s="3"/>
    </row>
    <row r="23" spans="1:7" x14ac:dyDescent="0.3">
      <c r="A23" s="1"/>
      <c r="B23" s="1"/>
      <c r="C23" s="1"/>
      <c r="D23" s="3"/>
      <c r="E23" s="3"/>
      <c r="F23" s="3"/>
      <c r="G23" s="3"/>
    </row>
    <row r="24" spans="1:7" x14ac:dyDescent="0.3">
      <c r="A24" s="1"/>
      <c r="B24" s="1"/>
      <c r="C24" s="1"/>
      <c r="D24" s="3"/>
      <c r="E24" s="3"/>
      <c r="F24" s="3"/>
      <c r="G24" s="3"/>
    </row>
    <row r="25" spans="1:7" x14ac:dyDescent="0.3">
      <c r="A25" s="1"/>
      <c r="B25" s="1"/>
      <c r="C25" s="1"/>
      <c r="D25" s="3"/>
      <c r="E25" s="3"/>
      <c r="F25" s="3"/>
      <c r="G25" s="3"/>
    </row>
    <row r="26" spans="1:7" x14ac:dyDescent="0.3">
      <c r="A26" s="1"/>
      <c r="B26" s="1"/>
      <c r="C26" s="1"/>
      <c r="D26" s="3"/>
      <c r="E26" s="3"/>
      <c r="F26" s="3"/>
      <c r="G26" s="3"/>
    </row>
    <row r="27" spans="1:7" x14ac:dyDescent="0.3">
      <c r="A27" s="1"/>
      <c r="B27" s="1"/>
      <c r="C27" s="1"/>
      <c r="D27" s="3"/>
      <c r="E27" s="3"/>
      <c r="F27" s="3"/>
      <c r="G27" s="3"/>
    </row>
    <row r="28" spans="1:7" x14ac:dyDescent="0.3">
      <c r="A28" s="1"/>
      <c r="B28" s="1"/>
      <c r="C28" s="1"/>
      <c r="D28" s="3"/>
      <c r="E28" s="3"/>
      <c r="F28" s="3"/>
      <c r="G28" s="3"/>
    </row>
    <row r="29" spans="1:7" x14ac:dyDescent="0.3">
      <c r="A29" s="1"/>
      <c r="B29" s="1"/>
      <c r="C29" s="1"/>
      <c r="D29" s="3"/>
      <c r="E29" s="3"/>
      <c r="F29" s="3"/>
      <c r="G29" s="3"/>
    </row>
    <row r="30" spans="1:7" x14ac:dyDescent="0.3">
      <c r="A30" s="1"/>
      <c r="B30" s="1"/>
      <c r="C30" s="1"/>
      <c r="D30" s="3"/>
      <c r="E30" s="3"/>
      <c r="F30" s="3"/>
      <c r="G30" s="3"/>
    </row>
    <row r="31" spans="1:7" x14ac:dyDescent="0.3">
      <c r="A31" s="1"/>
      <c r="B31" s="1"/>
      <c r="C31" s="1"/>
      <c r="D31" s="3"/>
      <c r="E31" s="3"/>
      <c r="F31" s="3"/>
      <c r="G31" s="3"/>
    </row>
    <row r="32" spans="1:7" x14ac:dyDescent="0.3">
      <c r="A32" s="1"/>
      <c r="B32" s="1"/>
      <c r="C32" s="1"/>
      <c r="D32" s="3"/>
      <c r="E32" s="3"/>
      <c r="F32" s="3"/>
      <c r="G32" s="3"/>
    </row>
    <row r="33" spans="1:7" x14ac:dyDescent="0.3">
      <c r="A33" s="1"/>
      <c r="B33" s="1"/>
      <c r="C33" s="1"/>
      <c r="D33" s="3"/>
      <c r="E33" s="3"/>
      <c r="F33" s="3"/>
      <c r="G33" s="3"/>
    </row>
    <row r="34" spans="1:7" x14ac:dyDescent="0.3">
      <c r="A34" s="1"/>
      <c r="B34" s="1"/>
      <c r="C34" s="1"/>
      <c r="D34" s="3"/>
      <c r="E34" s="3"/>
      <c r="F34" s="3"/>
      <c r="G34" s="3"/>
    </row>
    <row r="35" spans="1:7" x14ac:dyDescent="0.3">
      <c r="A35" s="1"/>
      <c r="B35" s="1"/>
      <c r="C35" s="1"/>
      <c r="D35" s="3"/>
      <c r="E35" s="3"/>
      <c r="F35" s="3"/>
      <c r="G35" s="3"/>
    </row>
    <row r="36" spans="1:7" x14ac:dyDescent="0.3">
      <c r="A36" s="1"/>
      <c r="B36" s="1"/>
      <c r="C36" s="1"/>
      <c r="D36" s="3"/>
      <c r="E36" s="3"/>
      <c r="F36" s="3"/>
      <c r="G36" s="3"/>
    </row>
    <row r="37" spans="1:7" x14ac:dyDescent="0.3">
      <c r="A37" s="1"/>
      <c r="B37" s="1"/>
      <c r="C37" s="1"/>
      <c r="D37" s="3"/>
      <c r="E37" s="3"/>
      <c r="F37" s="3"/>
      <c r="G37" s="3"/>
    </row>
    <row r="38" spans="1:7" x14ac:dyDescent="0.3">
      <c r="A38" s="1"/>
      <c r="B38" s="1"/>
      <c r="C38" s="1"/>
      <c r="D38" s="3"/>
      <c r="E38" s="3"/>
      <c r="F38" s="3"/>
      <c r="G38" s="3"/>
    </row>
    <row r="39" spans="1:7" x14ac:dyDescent="0.3">
      <c r="A39" s="1"/>
      <c r="B39" s="1"/>
      <c r="C39" s="1"/>
      <c r="D39" s="3"/>
      <c r="E39" s="3"/>
      <c r="F39" s="3"/>
      <c r="G39" s="3"/>
    </row>
    <row r="40" spans="1:7" x14ac:dyDescent="0.3">
      <c r="A40" s="1"/>
      <c r="B40" s="1"/>
      <c r="C40" s="1"/>
      <c r="D40" s="3"/>
      <c r="E40" s="3"/>
      <c r="F40" s="3"/>
      <c r="G40" s="3"/>
    </row>
    <row r="41" spans="1:7" x14ac:dyDescent="0.3">
      <c r="A41" s="1"/>
      <c r="B41" s="1"/>
      <c r="C41" s="1"/>
      <c r="D41" s="3"/>
      <c r="E41" s="3"/>
      <c r="F41" s="3"/>
      <c r="G41" s="3"/>
    </row>
    <row r="42" spans="1:7" x14ac:dyDescent="0.3">
      <c r="A42" s="1"/>
      <c r="B42" s="1"/>
      <c r="C42" s="1"/>
      <c r="D42" s="3"/>
      <c r="E42" s="3"/>
      <c r="F42" s="3"/>
      <c r="G42" s="3"/>
    </row>
    <row r="43" spans="1:7" x14ac:dyDescent="0.3">
      <c r="A43" s="1"/>
      <c r="B43" s="1"/>
      <c r="C43" s="1"/>
      <c r="D43" s="3"/>
      <c r="E43" s="3"/>
      <c r="F43" s="3"/>
      <c r="G43" s="3"/>
    </row>
    <row r="44" spans="1:7" x14ac:dyDescent="0.3">
      <c r="A44" s="1"/>
      <c r="B44" s="1"/>
      <c r="C44" s="1"/>
      <c r="D44" s="3"/>
      <c r="E44" s="3"/>
      <c r="F44" s="3"/>
      <c r="G44" s="3"/>
    </row>
    <row r="45" spans="1:7" x14ac:dyDescent="0.3">
      <c r="A45" s="1"/>
      <c r="B45" s="1"/>
      <c r="C45" s="1"/>
      <c r="D45" s="3"/>
      <c r="E45" s="3"/>
      <c r="F45" s="3"/>
      <c r="G45" s="3"/>
    </row>
    <row r="46" spans="1:7" x14ac:dyDescent="0.3">
      <c r="A46" s="1"/>
      <c r="B46" s="1"/>
      <c r="C46" s="1"/>
      <c r="D46" s="3"/>
      <c r="E46" s="3"/>
      <c r="F46" s="3"/>
      <c r="G46" s="3"/>
    </row>
    <row r="47" spans="1:7" x14ac:dyDescent="0.3">
      <c r="A47" s="1"/>
      <c r="B47" s="1"/>
      <c r="C47" s="1"/>
      <c r="D47" s="3"/>
      <c r="E47" s="3"/>
      <c r="F47" s="3"/>
      <c r="G47" s="3"/>
    </row>
    <row r="48" spans="1:7" x14ac:dyDescent="0.3">
      <c r="A48" s="1"/>
      <c r="B48" s="1"/>
      <c r="C48" s="1"/>
      <c r="D48" s="3"/>
      <c r="E48" s="3"/>
      <c r="F48" s="3"/>
      <c r="G48" s="3"/>
    </row>
    <row r="49" spans="1:7" x14ac:dyDescent="0.3">
      <c r="A49" s="1"/>
      <c r="B49" s="1"/>
      <c r="C49" s="1"/>
      <c r="D49" s="3"/>
      <c r="E49" s="3"/>
      <c r="F49" s="3"/>
      <c r="G49" s="3"/>
    </row>
    <row r="50" spans="1:7" x14ac:dyDescent="0.3">
      <c r="A50" s="3"/>
      <c r="D50" s="3"/>
      <c r="E50" s="3"/>
      <c r="F50" s="3"/>
      <c r="G50" s="3"/>
    </row>
    <row r="51" spans="1:7" x14ac:dyDescent="0.3">
      <c r="A51" s="3"/>
      <c r="D51" s="3"/>
      <c r="E51" s="3"/>
      <c r="F51" s="3"/>
      <c r="G51" s="3"/>
    </row>
    <row r="52" spans="1:7" x14ac:dyDescent="0.3">
      <c r="A52" s="3"/>
      <c r="D52" s="3"/>
      <c r="E52" s="3"/>
      <c r="F52" s="3"/>
      <c r="G52" s="3"/>
    </row>
    <row r="53" spans="1:7" x14ac:dyDescent="0.3">
      <c r="A53" s="3"/>
      <c r="D53" s="3"/>
      <c r="E53" s="3"/>
      <c r="F53" s="3"/>
      <c r="G53" s="3"/>
    </row>
    <row r="54" spans="1:7" x14ac:dyDescent="0.3">
      <c r="A54" s="3"/>
      <c r="D54" s="3"/>
      <c r="E54" s="3"/>
      <c r="F54" s="3"/>
      <c r="G54" s="3"/>
    </row>
    <row r="55" spans="1:7" x14ac:dyDescent="0.3">
      <c r="A55" s="3"/>
      <c r="D55" s="3"/>
      <c r="E55" s="3"/>
      <c r="F55" s="3"/>
      <c r="G55" s="3"/>
    </row>
    <row r="56" spans="1:7" x14ac:dyDescent="0.3">
      <c r="A56" s="3"/>
      <c r="D56" s="3"/>
      <c r="E56" s="3"/>
      <c r="F56" s="3"/>
      <c r="G56" s="3"/>
    </row>
    <row r="57" spans="1:7" x14ac:dyDescent="0.3">
      <c r="A57" s="3"/>
      <c r="D57" s="3"/>
      <c r="E57" s="3"/>
      <c r="F57" s="3"/>
      <c r="G57" s="3"/>
    </row>
    <row r="58" spans="1:7" x14ac:dyDescent="0.3">
      <c r="A58" s="3"/>
    </row>
    <row r="59" spans="1:7" x14ac:dyDescent="0.3">
      <c r="A59" s="3"/>
    </row>
    <row r="60" spans="1:7" x14ac:dyDescent="0.3">
      <c r="A60" s="3"/>
    </row>
    <row r="61" spans="1:7" x14ac:dyDescent="0.3">
      <c r="A61" s="3"/>
    </row>
    <row r="62" spans="1:7" x14ac:dyDescent="0.3">
      <c r="A62" s="3"/>
    </row>
  </sheetData>
  <hyperlinks>
    <hyperlink ref="C1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
  <sheetViews>
    <sheetView workbookViewId="0"/>
  </sheetViews>
  <sheetFormatPr defaultColWidth="8.85546875" defaultRowHeight="15" x14ac:dyDescent="0.25"/>
  <cols>
    <col min="1" max="2" width="8.85546875" style="9"/>
    <col min="3" max="3" width="102.42578125" style="9" customWidth="1"/>
    <col min="4" max="16384" width="8.85546875" style="9"/>
  </cols>
  <sheetData>
    <row r="2" spans="2:3" x14ac:dyDescent="0.25">
      <c r="B2" s="62" t="s">
        <v>254</v>
      </c>
      <c r="C2" s="62" t="s">
        <v>262</v>
      </c>
    </row>
    <row r="3" spans="2:3" ht="18.75" customHeight="1" x14ac:dyDescent="0.25">
      <c r="B3" s="63">
        <v>1</v>
      </c>
      <c r="C3" s="64" t="s">
        <v>255</v>
      </c>
    </row>
    <row r="4" spans="2:3" x14ac:dyDescent="0.25">
      <c r="B4" s="63">
        <v>2</v>
      </c>
      <c r="C4" s="64" t="s">
        <v>304</v>
      </c>
    </row>
    <row r="5" spans="2:3" x14ac:dyDescent="0.25">
      <c r="B5" s="63">
        <v>3</v>
      </c>
      <c r="C5" s="63" t="s">
        <v>305</v>
      </c>
    </row>
    <row r="6" spans="2:3" x14ac:dyDescent="0.25">
      <c r="B6" s="63">
        <v>4</v>
      </c>
      <c r="C6" s="63" t="s">
        <v>263</v>
      </c>
    </row>
    <row r="7" spans="2:3" x14ac:dyDescent="0.25">
      <c r="B7" s="63">
        <v>5</v>
      </c>
      <c r="C7" s="63" t="s">
        <v>256</v>
      </c>
    </row>
    <row r="8" spans="2:3" x14ac:dyDescent="0.25">
      <c r="B8" s="63">
        <v>6</v>
      </c>
      <c r="C8" s="63" t="s">
        <v>257</v>
      </c>
    </row>
    <row r="9" spans="2:3" x14ac:dyDescent="0.25">
      <c r="B9" s="63">
        <v>7</v>
      </c>
      <c r="C9" s="63" t="s">
        <v>258</v>
      </c>
    </row>
    <row r="10" spans="2:3" x14ac:dyDescent="0.25">
      <c r="B10" s="63">
        <v>8</v>
      </c>
      <c r="C10" s="63" t="s">
        <v>259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E222"/>
  <sheetViews>
    <sheetView zoomScale="78" zoomScaleNormal="78" workbookViewId="0">
      <pane xSplit="3" ySplit="3" topLeftCell="E4" activePane="bottomRight" state="frozen"/>
      <selection pane="topRight" activeCell="D1" sqref="D1"/>
      <selection pane="bottomLeft" activeCell="A4" sqref="A4"/>
      <selection pane="bottomRight" activeCell="V5" activeCellId="1" sqref="V11 V5"/>
    </sheetView>
  </sheetViews>
  <sheetFormatPr defaultColWidth="8.85546875" defaultRowHeight="15" x14ac:dyDescent="0.25"/>
  <cols>
    <col min="1" max="2" width="11.42578125" style="11" customWidth="1"/>
    <col min="3" max="3" width="48.140625" style="51" customWidth="1"/>
    <col min="4" max="5" width="10.140625" style="51" bestFit="1" customWidth="1"/>
    <col min="6" max="13" width="10.140625" style="11" bestFit="1" customWidth="1"/>
    <col min="14" max="22" width="7.85546875" style="11" bestFit="1" customWidth="1"/>
    <col min="23" max="16384" width="8.85546875" style="11"/>
  </cols>
  <sheetData>
    <row r="1" spans="1:57" ht="15.75" x14ac:dyDescent="0.25">
      <c r="A1" s="8" t="s">
        <v>278</v>
      </c>
      <c r="B1" s="9"/>
      <c r="C1" s="10"/>
      <c r="D1" s="10"/>
      <c r="E1" s="10"/>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x14ac:dyDescent="0.25">
      <c r="A2" s="9"/>
      <c r="B2" s="180"/>
      <c r="C2" s="181"/>
      <c r="D2" s="194" t="s">
        <v>204</v>
      </c>
      <c r="E2" s="194"/>
      <c r="F2" s="194"/>
      <c r="G2" s="194"/>
      <c r="H2" s="194"/>
      <c r="I2" s="194"/>
      <c r="J2" s="194"/>
      <c r="K2" s="194"/>
      <c r="L2" s="194"/>
      <c r="M2" s="194"/>
      <c r="N2" s="194" t="s">
        <v>206</v>
      </c>
      <c r="O2" s="194"/>
      <c r="P2" s="194"/>
      <c r="Q2" s="194"/>
      <c r="R2" s="194"/>
      <c r="S2" s="194"/>
      <c r="T2" s="194"/>
      <c r="U2" s="194"/>
      <c r="V2" s="194"/>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row>
    <row r="3" spans="1:57" s="12" customFormat="1" x14ac:dyDescent="0.25">
      <c r="B3" s="13"/>
      <c r="C3" s="14"/>
      <c r="D3" s="15" t="s">
        <v>288</v>
      </c>
      <c r="E3" s="15" t="s">
        <v>289</v>
      </c>
      <c r="F3" s="15" t="s">
        <v>194</v>
      </c>
      <c r="G3" s="15" t="s">
        <v>193</v>
      </c>
      <c r="H3" s="15" t="s">
        <v>200</v>
      </c>
      <c r="I3" s="15" t="s">
        <v>198</v>
      </c>
      <c r="J3" s="15" t="s">
        <v>199</v>
      </c>
      <c r="K3" s="15" t="s">
        <v>201</v>
      </c>
      <c r="L3" s="15" t="s">
        <v>192</v>
      </c>
      <c r="M3" s="15" t="s">
        <v>287</v>
      </c>
      <c r="N3" s="16">
        <v>2005</v>
      </c>
      <c r="O3" s="16">
        <v>2006</v>
      </c>
      <c r="P3" s="16">
        <v>2007</v>
      </c>
      <c r="Q3" s="16">
        <v>2008</v>
      </c>
      <c r="R3" s="16">
        <v>2009</v>
      </c>
      <c r="S3" s="16">
        <v>2010</v>
      </c>
      <c r="T3" s="16">
        <v>2011</v>
      </c>
      <c r="U3" s="16">
        <v>2012</v>
      </c>
      <c r="V3" s="16">
        <v>2013</v>
      </c>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row>
    <row r="4" spans="1:57" ht="30" x14ac:dyDescent="0.25">
      <c r="A4" s="113"/>
      <c r="B4" s="18" t="s">
        <v>188</v>
      </c>
      <c r="C4" s="19" t="s">
        <v>2</v>
      </c>
      <c r="D4" s="198" t="s">
        <v>191</v>
      </c>
      <c r="E4" s="199"/>
      <c r="F4" s="199"/>
      <c r="G4" s="199"/>
      <c r="H4" s="199"/>
      <c r="I4" s="199"/>
      <c r="J4" s="199"/>
      <c r="K4" s="199"/>
      <c r="L4" s="199"/>
      <c r="M4" s="200"/>
      <c r="N4" s="195" t="s">
        <v>273</v>
      </c>
      <c r="O4" s="195"/>
      <c r="P4" s="195"/>
      <c r="Q4" s="195"/>
      <c r="R4" s="195"/>
      <c r="S4" s="195"/>
      <c r="T4" s="195"/>
      <c r="U4" s="195"/>
      <c r="V4" s="195"/>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s="22" customFormat="1" ht="15" customHeight="1" x14ac:dyDescent="0.25">
      <c r="A5" s="203" t="s">
        <v>324</v>
      </c>
      <c r="B5" s="20" t="s">
        <v>181</v>
      </c>
      <c r="C5" s="21" t="s">
        <v>180</v>
      </c>
      <c r="D5" s="154">
        <f t="shared" ref="D5:E5" si="0">SUM(D6:D10)</f>
        <v>26332.865996262102</v>
      </c>
      <c r="E5" s="154">
        <f t="shared" si="0"/>
        <v>31534.953074676203</v>
      </c>
      <c r="F5" s="154">
        <f>SUM(F6:F10)</f>
        <v>30044.116284258496</v>
      </c>
      <c r="G5" s="154">
        <f>SUM(G6:G10)</f>
        <v>32830.011823910005</v>
      </c>
      <c r="H5" s="154">
        <f>SUM(H6:H10)</f>
        <v>39716.547007477799</v>
      </c>
      <c r="I5" s="154">
        <f t="shared" ref="I5:M5" si="1">SUM(I6:I10)</f>
        <v>42405.714875371807</v>
      </c>
      <c r="J5" s="154">
        <f t="shared" si="1"/>
        <v>45610.811323999995</v>
      </c>
      <c r="K5" s="154">
        <f t="shared" si="1"/>
        <v>51987.410378399996</v>
      </c>
      <c r="L5" s="154">
        <f t="shared" si="1"/>
        <v>44583.953303400005</v>
      </c>
      <c r="M5" s="154">
        <f t="shared" si="1"/>
        <v>51464.893095400002</v>
      </c>
      <c r="N5" s="155">
        <f>SUM(N6:N10)</f>
        <v>27.633387765865628</v>
      </c>
      <c r="O5" s="155">
        <f t="shared" ref="O5:U5" si="2">SUM(O6:O10)</f>
        <v>31.162243877071774</v>
      </c>
      <c r="P5" s="155">
        <f t="shared" si="2"/>
        <v>30.740590169171377</v>
      </c>
      <c r="Q5" s="155">
        <f t="shared" si="2"/>
        <v>34.551645619801953</v>
      </c>
      <c r="R5" s="155">
        <f t="shared" si="2"/>
        <v>40.388838974451303</v>
      </c>
      <c r="S5" s="155">
        <f t="shared" si="2"/>
        <v>43.206988987528852</v>
      </c>
      <c r="T5" s="155">
        <f t="shared" si="2"/>
        <v>47.204961087599997</v>
      </c>
      <c r="U5" s="155">
        <f t="shared" si="2"/>
        <v>50.136546109650006</v>
      </c>
      <c r="V5" s="155">
        <f t="shared" ref="V5" si="3">SUM(V6:V10)</f>
        <v>46.304188251400006</v>
      </c>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s="22" customFormat="1" ht="15" customHeight="1" x14ac:dyDescent="0.25">
      <c r="A6" s="203"/>
      <c r="B6" s="23" t="s">
        <v>178</v>
      </c>
      <c r="C6" s="24" t="s">
        <v>179</v>
      </c>
      <c r="D6" s="196" t="s">
        <v>268</v>
      </c>
      <c r="E6" s="196"/>
      <c r="F6" s="196"/>
      <c r="G6" s="196"/>
      <c r="H6" s="196"/>
      <c r="I6" s="196"/>
      <c r="J6" s="196"/>
      <c r="K6" s="196"/>
      <c r="L6" s="196"/>
      <c r="M6" s="196"/>
      <c r="N6" s="196"/>
      <c r="O6" s="196"/>
      <c r="P6" s="196"/>
      <c r="Q6" s="196"/>
      <c r="R6" s="196"/>
      <c r="S6" s="196"/>
      <c r="T6" s="196"/>
      <c r="U6" s="196"/>
      <c r="V6" s="196"/>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row>
    <row r="7" spans="1:57" s="22" customFormat="1" x14ac:dyDescent="0.25">
      <c r="A7" s="203"/>
      <c r="B7" s="23" t="s">
        <v>4</v>
      </c>
      <c r="C7" s="24" t="s">
        <v>22</v>
      </c>
      <c r="D7" s="152">
        <f>IFERROR((VLOOKUP($B7,'6'!$A$4:$K$19,2,FALSE)/1000),"")</f>
        <v>22620.647000000001</v>
      </c>
      <c r="E7" s="152">
        <f>IFERROR((VLOOKUP($B7,'6'!$A$4:$K$19,3,FALSE)/1000),"")</f>
        <v>26800.482</v>
      </c>
      <c r="F7" s="152">
        <f>IFERROR((VLOOKUP($B7,'6'!$A$4:$K$19,4,FALSE)/1000),"")</f>
        <v>26251.550729999999</v>
      </c>
      <c r="G7" s="152">
        <f>IFERROR((VLOOKUP($B7,'6'!$A$4:$K$19,5,FALSE)/1000),"")</f>
        <v>28143.018050000002</v>
      </c>
      <c r="H7" s="152">
        <f>IFERROR((VLOOKUP($B7,'6'!$A$4:$K$19,6,FALSE)/1000),"")</f>
        <v>36623.154000000002</v>
      </c>
      <c r="I7" s="152">
        <f>IFERROR((VLOOKUP($B7,'6'!$A$4:$K$19,7,FALSE)/1000),"")</f>
        <v>36918.569710000003</v>
      </c>
      <c r="J7" s="152">
        <f>IFERROR((VLOOKUP($B7,'6'!$A$4:$K$19,8,FALSE)/1000),"")</f>
        <v>40132.841719999997</v>
      </c>
      <c r="K7" s="152">
        <f>IFERROR((VLOOKUP($B7,'6'!$A$4:$K$19,9,FALSE)/1000),"")</f>
        <v>46120.748</v>
      </c>
      <c r="L7" s="152">
        <f>IFERROR((VLOOKUP($B7,'6'!$A$4:$K$19,10,FALSE)/1000),"")</f>
        <v>37319.326590000004</v>
      </c>
      <c r="M7" s="152">
        <f>IFERROR((VLOOKUP($B7,'6'!$A$4:$K$19,11,FALSE)/1000),"")</f>
        <v>43770.472500000003</v>
      </c>
      <c r="N7" s="156">
        <f>IFERROR(((3/4)*D7+(1/4)*E7)/1000,"")</f>
        <v>23.665605750000001</v>
      </c>
      <c r="O7" s="156">
        <f t="shared" ref="O7:T7" si="4">IFERROR(((3/4)*E7+(1/4)*F7)/1000,"")</f>
        <v>26.6632491825</v>
      </c>
      <c r="P7" s="156">
        <f t="shared" si="4"/>
        <v>26.724417559999999</v>
      </c>
      <c r="Q7" s="156">
        <f t="shared" si="4"/>
        <v>30.263052037500007</v>
      </c>
      <c r="R7" s="156">
        <f t="shared" si="4"/>
        <v>36.697007927500003</v>
      </c>
      <c r="S7" s="156">
        <f t="shared" si="4"/>
        <v>37.7221377125</v>
      </c>
      <c r="T7" s="156">
        <f t="shared" si="4"/>
        <v>41.629818289999996</v>
      </c>
      <c r="U7" s="156">
        <f t="shared" ref="O7:V10" si="5">IFERROR(((3/4)*K7+(1/4)*L7)/1000,"")</f>
        <v>43.920392647500002</v>
      </c>
      <c r="V7" s="156">
        <f t="shared" si="5"/>
        <v>38.932113067500005</v>
      </c>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s="22" customFormat="1" ht="30" x14ac:dyDescent="0.25">
      <c r="A8" s="203"/>
      <c r="B8" s="23" t="s">
        <v>5</v>
      </c>
      <c r="C8" s="24" t="s">
        <v>23</v>
      </c>
      <c r="D8" s="152" t="str">
        <f>IFERROR((VLOOKUP($B8,'6'!$A$4:$K$19,2,FALSE)/1000),"")</f>
        <v/>
      </c>
      <c r="E8" s="152" t="str">
        <f>IFERROR((VLOOKUP($B8,'6'!$A$4:$K$19,3,FALSE)/1000),"")</f>
        <v/>
      </c>
      <c r="F8" s="152" t="str">
        <f>IFERROR((VLOOKUP($B8,'6'!$A$4:$K$19,4,FALSE)/1000),"")</f>
        <v/>
      </c>
      <c r="G8" s="152" t="str">
        <f>IFERROR((VLOOKUP($B8,'6'!$A$4:$K$19,5,FALSE)/1000),"")</f>
        <v/>
      </c>
      <c r="H8" s="152" t="str">
        <f>IFERROR((VLOOKUP($B8,'6'!$A$4:$K$19,6,FALSE)/1000),"")</f>
        <v/>
      </c>
      <c r="I8" s="152" t="str">
        <f>IFERROR((VLOOKUP($B8,'6'!$A$4:$K$19,7,FALSE)/1000),"")</f>
        <v/>
      </c>
      <c r="J8" s="152" t="str">
        <f>IFERROR((VLOOKUP($B8,'6'!$A$4:$K$19,8,FALSE)/1000),"")</f>
        <v/>
      </c>
      <c r="K8" s="152" t="str">
        <f>IFERROR((VLOOKUP($B8,'6'!$A$4:$K$19,9,FALSE)/1000),"")</f>
        <v/>
      </c>
      <c r="L8" s="152" t="str">
        <f>IFERROR((VLOOKUP($B8,'6'!$A$4:$K$19,10,FALSE)/1000),"")</f>
        <v/>
      </c>
      <c r="M8" s="152" t="str">
        <f>IFERROR((VLOOKUP($B8,'6'!$A$4:$K$19,11,FALSE)/1000),"")</f>
        <v/>
      </c>
      <c r="N8" s="156" t="str">
        <f t="shared" ref="N8:N10" si="6">IFERROR(((3/4)*D8+(1/4)*E8)/1000,"")</f>
        <v/>
      </c>
      <c r="O8" s="156" t="str">
        <f t="shared" si="5"/>
        <v/>
      </c>
      <c r="P8" s="156" t="str">
        <f t="shared" si="5"/>
        <v/>
      </c>
      <c r="Q8" s="156" t="str">
        <f t="shared" si="5"/>
        <v/>
      </c>
      <c r="R8" s="156" t="str">
        <f t="shared" si="5"/>
        <v/>
      </c>
      <c r="S8" s="156" t="str">
        <f t="shared" si="5"/>
        <v/>
      </c>
      <c r="T8" s="156" t="str">
        <f t="shared" si="5"/>
        <v/>
      </c>
      <c r="U8" s="156" t="str">
        <f t="shared" ref="U8:U10" si="7">IFERROR(((3/4)*K8+(1/4)*L8)/1000,"")</f>
        <v/>
      </c>
      <c r="V8" s="156" t="str">
        <f t="shared" ref="V8:V10" si="8">IFERROR(((3/4)*L8+(1/4)*M8)/1000,"")</f>
        <v/>
      </c>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57" s="22" customFormat="1" x14ac:dyDescent="0.25">
      <c r="A9" s="203"/>
      <c r="B9" s="25" t="s">
        <v>6</v>
      </c>
      <c r="C9" s="24" t="s">
        <v>24</v>
      </c>
      <c r="D9" s="152">
        <f>IFERROR((VLOOKUP($B9,'6'!$A$4:$K$19,2,FALSE)/1000),"")</f>
        <v>109.5489962621</v>
      </c>
      <c r="E9" s="152">
        <f>IFERROR((VLOOKUP($B9,'6'!$A$4:$K$19,3,FALSE)/1000),"")</f>
        <v>741.8370746761999</v>
      </c>
      <c r="F9" s="152">
        <f>IFERROR((VLOOKUP($B9,'6'!$A$4:$K$19,4,FALSE)/1000),"")</f>
        <v>105.68255425849999</v>
      </c>
      <c r="G9" s="152">
        <f>IFERROR((VLOOKUP($B9,'6'!$A$4:$K$19,5,FALSE)/1000),"")</f>
        <v>880.29377391000003</v>
      </c>
      <c r="H9" s="152">
        <f>IFERROR((VLOOKUP($B9,'6'!$A$4:$K$19,6,FALSE)/1000),"")</f>
        <v>-906.35499252219995</v>
      </c>
      <c r="I9" s="152">
        <f>IFERROR((VLOOKUP($B9,'6'!$A$4:$K$19,7,FALSE)/1000),"")</f>
        <v>1242.3341653718001</v>
      </c>
      <c r="J9" s="152">
        <f>IFERROR((VLOOKUP($B9,'6'!$A$4:$K$19,8,FALSE)/1000),"")</f>
        <v>846.54560399999991</v>
      </c>
      <c r="K9" s="152">
        <f>IFERROR((VLOOKUP($B9,'6'!$A$4:$K$19,9,FALSE)/1000),"")</f>
        <v>1010.7703783999999</v>
      </c>
      <c r="L9" s="152">
        <f>IFERROR((VLOOKUP($B9,'6'!$A$4:$K$19,10,FALSE)/1000),"")</f>
        <v>1612.8485134000002</v>
      </c>
      <c r="M9" s="152">
        <f>IFERROR((VLOOKUP($B9,'6'!$A$4:$K$19,11,FALSE)/1000),"")</f>
        <v>2555.4944054000002</v>
      </c>
      <c r="N9" s="186">
        <f>IFERROR(((3/4)*D9+(1/4)*E9)/1000,"")</f>
        <v>0.26762101586562498</v>
      </c>
      <c r="O9" s="156">
        <f t="shared" si="5"/>
        <v>0.58279844457177499</v>
      </c>
      <c r="P9" s="156">
        <f t="shared" si="5"/>
        <v>0.29933535917137499</v>
      </c>
      <c r="Q9" s="156">
        <f t="shared" si="5"/>
        <v>0.43363158230195004</v>
      </c>
      <c r="R9" s="156">
        <f>IFERROR(((3/4)*H9+(1/4)*I9)/1000,"")</f>
        <v>-0.36918270304869993</v>
      </c>
      <c r="S9" s="156">
        <f t="shared" si="5"/>
        <v>1.14338702502885</v>
      </c>
      <c r="T9" s="156">
        <f t="shared" si="5"/>
        <v>0.88760179759999991</v>
      </c>
      <c r="U9" s="156">
        <f t="shared" si="7"/>
        <v>1.16128991215</v>
      </c>
      <c r="V9" s="156">
        <f t="shared" si="8"/>
        <v>1.8485099864000003</v>
      </c>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s="22" customFormat="1" x14ac:dyDescent="0.25">
      <c r="A10" s="203"/>
      <c r="B10" s="25" t="s">
        <v>7</v>
      </c>
      <c r="C10" s="24" t="s">
        <v>308</v>
      </c>
      <c r="D10" s="152">
        <f>IFERROR((VLOOKUP($B10,'6'!$A$4:$K$19,2,FALSE)/1000),"")</f>
        <v>3602.67</v>
      </c>
      <c r="E10" s="152">
        <f>IFERROR((VLOOKUP($B10,'6'!$A$4:$K$19,3,FALSE)/1000),"")</f>
        <v>3992.634</v>
      </c>
      <c r="F10" s="152">
        <f>IFERROR((VLOOKUP($B10,'6'!$A$4:$K$19,4,FALSE)/1000),"")</f>
        <v>3686.8829999999998</v>
      </c>
      <c r="G10" s="152">
        <f>IFERROR((VLOOKUP($B10,'6'!$A$4:$K$19,5,FALSE)/1000),"")</f>
        <v>3806.7</v>
      </c>
      <c r="H10" s="152">
        <f>IFERROR((VLOOKUP($B10,'6'!$A$4:$K$19,6,FALSE)/1000),"")</f>
        <v>3999.748</v>
      </c>
      <c r="I10" s="152">
        <f>IFERROR((VLOOKUP($B10,'6'!$A$4:$K$19,7,FALSE)/1000),"")</f>
        <v>4244.8109999999997</v>
      </c>
      <c r="J10" s="152">
        <f>IFERROR((VLOOKUP($B10,'6'!$A$4:$K$19,8,FALSE)/1000),"")</f>
        <v>4631.424</v>
      </c>
      <c r="K10" s="152">
        <f>IFERROR((VLOOKUP($B10,'6'!$A$4:$K$19,9,FALSE)/1000),"")</f>
        <v>4855.8919999999998</v>
      </c>
      <c r="L10" s="152">
        <f>IFERROR((VLOOKUP($B10,'6'!$A$4:$K$19,10,FALSE)/1000),"")</f>
        <v>5651.7781999999997</v>
      </c>
      <c r="M10" s="152">
        <f>IFERROR((VLOOKUP($B10,'6'!$A$4:$K$19,11,FALSE)/1000),"")</f>
        <v>5138.9261900000001</v>
      </c>
      <c r="N10" s="156">
        <f t="shared" si="6"/>
        <v>3.700161</v>
      </c>
      <c r="O10" s="156">
        <f t="shared" si="5"/>
        <v>3.91619625</v>
      </c>
      <c r="P10" s="156">
        <f t="shared" si="5"/>
        <v>3.7168372499999998</v>
      </c>
      <c r="Q10" s="156">
        <f t="shared" si="5"/>
        <v>3.8549619999999996</v>
      </c>
      <c r="R10" s="156">
        <f t="shared" si="5"/>
        <v>4.0610137499999999</v>
      </c>
      <c r="S10" s="156">
        <f t="shared" si="5"/>
        <v>4.3414642499999996</v>
      </c>
      <c r="T10" s="156">
        <f t="shared" si="5"/>
        <v>4.6875410000000004</v>
      </c>
      <c r="U10" s="156">
        <f t="shared" si="7"/>
        <v>5.0548635500000003</v>
      </c>
      <c r="V10" s="156">
        <f t="shared" si="8"/>
        <v>5.5235651975</v>
      </c>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row>
    <row r="11" spans="1:57" s="22" customFormat="1" x14ac:dyDescent="0.25">
      <c r="A11" s="203"/>
      <c r="B11" s="20" t="s">
        <v>11</v>
      </c>
      <c r="C11" s="26" t="s">
        <v>309</v>
      </c>
      <c r="D11" s="154">
        <f t="shared" ref="D11:M11" si="9">SUM(D12:D27)</f>
        <v>196444.81457051096</v>
      </c>
      <c r="E11" s="154">
        <f t="shared" si="9"/>
        <v>167867.78651873584</v>
      </c>
      <c r="F11" s="154">
        <f t="shared" si="9"/>
        <v>195191.86928207101</v>
      </c>
      <c r="G11" s="154">
        <f t="shared" si="9"/>
        <v>269696.22452280257</v>
      </c>
      <c r="H11" s="154">
        <f t="shared" si="9"/>
        <v>257351.206495897</v>
      </c>
      <c r="I11" s="154">
        <f t="shared" si="9"/>
        <v>327449.77872417984</v>
      </c>
      <c r="J11" s="154">
        <f t="shared" si="9"/>
        <v>339471.19491696637</v>
      </c>
      <c r="K11" s="154">
        <f t="shared" si="9"/>
        <v>355656.46637192008</v>
      </c>
      <c r="L11" s="154">
        <f t="shared" si="9"/>
        <v>415804.60637701704</v>
      </c>
      <c r="M11" s="154">
        <f t="shared" si="9"/>
        <v>436239.93914269441</v>
      </c>
      <c r="N11" s="154">
        <f>SUM(N12:N27)</f>
        <v>189.30055755756712</v>
      </c>
      <c r="O11" s="154">
        <f t="shared" ref="O11:U11" si="10">SUM(O12:O27)</f>
        <v>174.69880720956962</v>
      </c>
      <c r="P11" s="154">
        <f t="shared" si="10"/>
        <v>213.81795809225392</v>
      </c>
      <c r="Q11" s="154">
        <f t="shared" si="10"/>
        <v>266.6099700160762</v>
      </c>
      <c r="R11" s="154">
        <f t="shared" si="10"/>
        <v>274.87584955296774</v>
      </c>
      <c r="S11" s="154">
        <f t="shared" si="10"/>
        <v>330.45513277237649</v>
      </c>
      <c r="T11" s="154">
        <f t="shared" si="10"/>
        <v>343.51751278070486</v>
      </c>
      <c r="U11" s="154">
        <f t="shared" si="10"/>
        <v>370.69350137319418</v>
      </c>
      <c r="V11" s="154">
        <f t="shared" ref="V11" si="11">SUM(V12:V27)</f>
        <v>420.91343956843639</v>
      </c>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row>
    <row r="12" spans="1:57" s="22" customFormat="1" x14ac:dyDescent="0.25">
      <c r="A12" s="203"/>
      <c r="B12" s="23" t="s">
        <v>8</v>
      </c>
      <c r="C12" s="24" t="s">
        <v>25</v>
      </c>
      <c r="D12" s="157">
        <f>IFERROR((VLOOKUP($B12,'6'!$A$4:$K$19,2,FALSE)/1000),"")</f>
        <v>108028.11795939151</v>
      </c>
      <c r="E12" s="157">
        <f>IFERROR((VLOOKUP($B12,'6'!$A$4:$K$19,3,FALSE)/1000),"")</f>
        <v>95400.24483982411</v>
      </c>
      <c r="F12" s="157">
        <f>IFERROR((VLOOKUP($B12,'6'!$A$4:$K$19,4,FALSE)/1000),"")</f>
        <v>124806.98647840001</v>
      </c>
      <c r="G12" s="157">
        <f>IFERROR((VLOOKUP($B12,'6'!$A$4:$K$19,5,FALSE)/1000),"")</f>
        <v>172902.83991244715</v>
      </c>
      <c r="H12" s="157">
        <f>IFERROR((VLOOKUP($B12,'6'!$A$4:$K$19,6,FALSE)/1000),"")</f>
        <v>146697.67672311002</v>
      </c>
      <c r="I12" s="157">
        <f>IFERROR((VLOOKUP($B12,'6'!$A$4:$K$19,7,FALSE)/1000),"")</f>
        <v>198127.00991856999</v>
      </c>
      <c r="J12" s="157">
        <f>IFERROR((VLOOKUP($B12,'6'!$A$4:$K$19,8,FALSE)/1000),"")</f>
        <v>208741.18975175201</v>
      </c>
      <c r="K12" s="157">
        <f>IFERROR((VLOOKUP($B12,'6'!$A$4:$K$19,9,FALSE)/1000),"")</f>
        <v>208773.99779262999</v>
      </c>
      <c r="L12" s="157">
        <f>IFERROR((VLOOKUP($B12,'6'!$A$4:$K$19,10,FALSE)/1000),"")</f>
        <v>220756.79677110404</v>
      </c>
      <c r="M12" s="157">
        <f>IFERROR((VLOOKUP($B12,'6'!$A$4:$K$19,11,FALSE)/1000),"")</f>
        <v>229410.75607395178</v>
      </c>
      <c r="N12" s="156">
        <f>IFERROR(((3/4)*D12+(1/4)*E12)/1000,"")</f>
        <v>104.87114967949967</v>
      </c>
      <c r="O12" s="156">
        <f t="shared" ref="O12:V24" si="12">IFERROR(((3/4)*E12+(1/4)*F12)/1000,"")</f>
        <v>102.75193024946809</v>
      </c>
      <c r="P12" s="156">
        <f t="shared" si="12"/>
        <v>136.8309498369118</v>
      </c>
      <c r="Q12" s="156">
        <f t="shared" si="12"/>
        <v>166.35154911511287</v>
      </c>
      <c r="R12" s="156">
        <f t="shared" si="12"/>
        <v>159.55501002197502</v>
      </c>
      <c r="S12" s="156">
        <f t="shared" si="12"/>
        <v>200.78055487686547</v>
      </c>
      <c r="T12" s="156">
        <f t="shared" si="12"/>
        <v>208.74939176197151</v>
      </c>
      <c r="U12" s="156">
        <f t="shared" si="12"/>
        <v>211.76969753724848</v>
      </c>
      <c r="V12" s="156">
        <f t="shared" si="12"/>
        <v>222.92028659681597</v>
      </c>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s="22" customFormat="1" x14ac:dyDescent="0.25">
      <c r="A13" s="203"/>
      <c r="B13" s="23" t="s">
        <v>9</v>
      </c>
      <c r="C13" s="24" t="s">
        <v>26</v>
      </c>
      <c r="D13" s="187">
        <f>IFERROR((VLOOKUP($B13,'6'!$A$4:$K$19,2,FALSE)/1000),"")</f>
        <v>17942.79238594</v>
      </c>
      <c r="E13" s="187">
        <f>IFERROR((VLOOKUP($B13,'6'!$A$4:$K$19,3,FALSE)/1000),"")</f>
        <v>4559.2216450750011</v>
      </c>
      <c r="F13" s="187">
        <f>IFERROR((VLOOKUP($B13,'6'!$A$4:$K$19,4,FALSE)/1000),"")</f>
        <v>5009.5251776999976</v>
      </c>
      <c r="G13" s="187">
        <f>IFERROR((VLOOKUP($B13,'6'!$A$4:$K$19,5,FALSE)/1000),"")</f>
        <v>7836.286728</v>
      </c>
      <c r="H13" s="187">
        <f>IFERROR((VLOOKUP($B13,'6'!$A$4:$K$19,6,FALSE)/1000),"")</f>
        <v>13860.701604814298</v>
      </c>
      <c r="I13" s="187">
        <f>IFERROR((VLOOKUP($B13,'6'!$A$4:$K$19,7,FALSE)/1000),"")</f>
        <v>6684.814905999996</v>
      </c>
      <c r="J13" s="187">
        <f>IFERROR((VLOOKUP($B13,'6'!$A$4:$K$19,8,FALSE)/1000),"")</f>
        <v>20939.050651449703</v>
      </c>
      <c r="K13" s="187">
        <f>IFERROR((VLOOKUP($B13,'6'!$A$4:$K$19,9,FALSE)/1000),"")</f>
        <v>27929.964642410003</v>
      </c>
      <c r="L13" s="187">
        <f>IFERROR((VLOOKUP($B13,'6'!$A$4:$K$19,10,FALSE)/1000),"")</f>
        <v>46248.295521009997</v>
      </c>
      <c r="M13" s="187">
        <f>IFERROR((VLOOKUP($B13,'6'!$A$4:$K$19,11,FALSE)/1000),"")</f>
        <v>31139.242405990004</v>
      </c>
      <c r="N13" s="186">
        <f t="shared" ref="N13:N24" si="13">IFERROR(((3/4)*D13+(1/4)*E13)/1000,"")</f>
        <v>14.596899700723748</v>
      </c>
      <c r="O13" s="186">
        <f t="shared" si="12"/>
        <v>4.6717975282312496</v>
      </c>
      <c r="P13" s="186">
        <f t="shared" si="12"/>
        <v>5.7162155652749984</v>
      </c>
      <c r="Q13" s="186">
        <f t="shared" si="12"/>
        <v>9.3423904472035755</v>
      </c>
      <c r="R13" s="186">
        <f t="shared" si="12"/>
        <v>12.066729930110723</v>
      </c>
      <c r="S13" s="186">
        <f t="shared" si="12"/>
        <v>10.248373842362424</v>
      </c>
      <c r="T13" s="186">
        <f t="shared" si="12"/>
        <v>22.686779149189778</v>
      </c>
      <c r="U13" s="186">
        <f t="shared" si="12"/>
        <v>32.509547362060005</v>
      </c>
      <c r="V13" s="186">
        <f t="shared" si="12"/>
        <v>42.471032242254992</v>
      </c>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row>
    <row r="14" spans="1:57" s="30" customFormat="1" x14ac:dyDescent="0.25">
      <c r="A14" s="203"/>
      <c r="B14" s="27" t="s">
        <v>10</v>
      </c>
      <c r="C14" s="28" t="s">
        <v>27</v>
      </c>
      <c r="D14" s="187">
        <f>IFERROR((VLOOKUP($B14,'6'!$A$4:$K$19,2,FALSE)/1000),"")</f>
        <v>9433.02846469</v>
      </c>
      <c r="E14" s="187">
        <f>IFERROR((VLOOKUP($B14,'6'!$A$4:$K$19,3,FALSE)/1000),"")</f>
        <v>3791.9974451093999</v>
      </c>
      <c r="F14" s="187">
        <f>IFERROR((VLOOKUP($B14,'6'!$A$4:$K$19,4,FALSE)/1000),"")</f>
        <v>3697.7961309999996</v>
      </c>
      <c r="G14" s="187">
        <f>IFERROR((VLOOKUP($B14,'6'!$A$4:$K$19,5,FALSE)/1000),"")</f>
        <v>14640.6624482104</v>
      </c>
      <c r="H14" s="187">
        <f>IFERROR((VLOOKUP($B14,'6'!$A$4:$K$19,6,FALSE)/1000),"")</f>
        <v>13572.44908006</v>
      </c>
      <c r="I14" s="187">
        <f>IFERROR((VLOOKUP($B14,'6'!$A$4:$K$19,7,FALSE)/1000),"")</f>
        <v>18157.078449000001</v>
      </c>
      <c r="J14" s="187">
        <f>IFERROR((VLOOKUP($B14,'6'!$A$4:$K$19,8,FALSE)/1000),"")</f>
        <v>13140.671317179</v>
      </c>
      <c r="K14" s="187">
        <f>IFERROR((VLOOKUP($B14,'6'!$A$4:$K$19,9,FALSE)/1000),"")</f>
        <v>17516.196675950003</v>
      </c>
      <c r="L14" s="187">
        <f>IFERROR((VLOOKUP($B14,'6'!$A$4:$K$19,10,FALSE)/1000),"")</f>
        <v>30954.133625211005</v>
      </c>
      <c r="M14" s="187">
        <f>IFERROR((VLOOKUP($B14,'6'!$A$4:$K$19,11,FALSE)/1000),"")</f>
        <v>41695.911383781</v>
      </c>
      <c r="N14" s="186">
        <f t="shared" si="13"/>
        <v>8.02277070979485</v>
      </c>
      <c r="O14" s="186">
        <f t="shared" si="12"/>
        <v>3.7684471165820494</v>
      </c>
      <c r="P14" s="186">
        <f t="shared" si="12"/>
        <v>6.4335127103026002</v>
      </c>
      <c r="Q14" s="186">
        <f t="shared" si="12"/>
        <v>14.3736091061728</v>
      </c>
      <c r="R14" s="186">
        <f t="shared" si="12"/>
        <v>14.718606422294998</v>
      </c>
      <c r="S14" s="186">
        <f t="shared" si="12"/>
        <v>16.902976666044751</v>
      </c>
      <c r="T14" s="186">
        <f t="shared" si="12"/>
        <v>14.234552656871751</v>
      </c>
      <c r="U14" s="186">
        <f t="shared" si="12"/>
        <v>20.875680913265253</v>
      </c>
      <c r="V14" s="186">
        <f t="shared" si="12"/>
        <v>33.639578064853502</v>
      </c>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row>
    <row r="15" spans="1:57" s="22" customFormat="1" x14ac:dyDescent="0.25">
      <c r="A15" s="203"/>
      <c r="B15" s="23" t="s">
        <v>12</v>
      </c>
      <c r="C15" s="24" t="s">
        <v>28</v>
      </c>
      <c r="D15" s="187">
        <f>IFERROR((VLOOKUP($B15,'6'!$A$4:$K$19,2,FALSE)/1000),"")</f>
        <v>6125.0063000000009</v>
      </c>
      <c r="E15" s="187">
        <f>IFERROR((VLOOKUP($B15,'6'!$A$4:$K$19,3,FALSE)/1000),"")</f>
        <v>6946.8481082502994</v>
      </c>
      <c r="F15" s="187">
        <f>IFERROR((VLOOKUP($B15,'6'!$A$4:$K$19,4,FALSE)/1000),"")</f>
        <v>5962.6763999999985</v>
      </c>
      <c r="G15" s="187">
        <f>IFERROR((VLOOKUP($B15,'6'!$A$4:$K$19,5,FALSE)/1000),"")</f>
        <v>6401.2858340990006</v>
      </c>
      <c r="H15" s="187">
        <f>IFERROR((VLOOKUP($B15,'6'!$A$4:$K$19,6,FALSE)/1000),"")</f>
        <v>7652.4646700000003</v>
      </c>
      <c r="I15" s="187">
        <f>IFERROR((VLOOKUP($B15,'6'!$A$4:$K$19,7,FALSE)/1000),"")</f>
        <v>9015.1266100000012</v>
      </c>
      <c r="J15" s="187">
        <f>IFERROR((VLOOKUP($B15,'6'!$A$4:$K$19,8,FALSE)/1000),"")</f>
        <v>7643.1363299999985</v>
      </c>
      <c r="K15" s="187">
        <f>IFERROR((VLOOKUP($B15,'6'!$A$4:$K$19,9,FALSE)/1000),"")</f>
        <v>8976.2847139999994</v>
      </c>
      <c r="L15" s="187">
        <f>IFERROR((VLOOKUP($B15,'6'!$A$4:$K$19,10,FALSE)/1000),"")</f>
        <v>11536.6957327</v>
      </c>
      <c r="M15" s="187">
        <f>IFERROR((VLOOKUP($B15,'6'!$A$4:$K$19,11,FALSE)/1000),"")</f>
        <v>11072.72897568</v>
      </c>
      <c r="N15" s="186">
        <f t="shared" si="13"/>
        <v>6.3304667520625753</v>
      </c>
      <c r="O15" s="186">
        <f t="shared" si="12"/>
        <v>6.7008051811877252</v>
      </c>
      <c r="P15" s="186">
        <f t="shared" si="12"/>
        <v>6.0723287585247494</v>
      </c>
      <c r="Q15" s="186">
        <f t="shared" si="12"/>
        <v>6.7140805430742514</v>
      </c>
      <c r="R15" s="186">
        <f t="shared" si="12"/>
        <v>7.9931301550000011</v>
      </c>
      <c r="S15" s="186">
        <f t="shared" si="12"/>
        <v>8.6721290400000015</v>
      </c>
      <c r="T15" s="186">
        <f t="shared" si="12"/>
        <v>7.9764234259999993</v>
      </c>
      <c r="U15" s="186">
        <f t="shared" si="12"/>
        <v>9.6163874686749988</v>
      </c>
      <c r="V15" s="186">
        <f t="shared" si="12"/>
        <v>11.420704043445001</v>
      </c>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row>
    <row r="16" spans="1:57" s="22" customFormat="1" x14ac:dyDescent="0.25">
      <c r="A16" s="203"/>
      <c r="B16" s="23" t="s">
        <v>13</v>
      </c>
      <c r="C16" s="24" t="s">
        <v>29</v>
      </c>
      <c r="D16" s="187">
        <f>IFERROR((VLOOKUP($B16,'6'!$A$4:$K$19,2,FALSE)/1000),"")</f>
        <v>4984.0170507724006</v>
      </c>
      <c r="E16" s="187">
        <f>IFERROR((VLOOKUP($B16,'6'!$A$4:$K$19,3,FALSE)/1000),"")</f>
        <v>5492.4503494111996</v>
      </c>
      <c r="F16" s="187">
        <f>IFERROR((VLOOKUP($B16,'6'!$A$4:$K$19,4,FALSE)/1000),"")</f>
        <v>2701.8414721008999</v>
      </c>
      <c r="G16" s="187">
        <f>IFERROR((VLOOKUP($B16,'6'!$A$4:$K$19,5,FALSE)/1000),"")</f>
        <v>2383.7420652316996</v>
      </c>
      <c r="H16" s="187">
        <f>IFERROR((VLOOKUP($B16,'6'!$A$4:$K$19,6,FALSE)/1000),"")</f>
        <v>5239.7258899999997</v>
      </c>
      <c r="I16" s="187">
        <f>IFERROR((VLOOKUP($B16,'6'!$A$4:$K$19,7,FALSE)/1000),"")</f>
        <v>7795.0456546698997</v>
      </c>
      <c r="J16" s="187">
        <f>IFERROR((VLOOKUP($B16,'6'!$A$4:$K$19,8,FALSE)/1000),"")</f>
        <v>5011.5054328400001</v>
      </c>
      <c r="K16" s="187">
        <f>IFERROR((VLOOKUP($B16,'6'!$A$4:$K$19,9,FALSE)/1000),"")</f>
        <v>3785.8029387100005</v>
      </c>
      <c r="L16" s="187">
        <f>IFERROR((VLOOKUP($B16,'6'!$A$4:$K$19,10,FALSE)/1000),"")</f>
        <v>4676.6844559299998</v>
      </c>
      <c r="M16" s="187">
        <f>IFERROR((VLOOKUP($B16,'6'!$A$4:$K$19,11,FALSE)/1000),"")</f>
        <v>5681.9200053000004</v>
      </c>
      <c r="N16" s="186">
        <f t="shared" si="13"/>
        <v>5.1111253754321009</v>
      </c>
      <c r="O16" s="186">
        <f t="shared" si="12"/>
        <v>4.7947981300836249</v>
      </c>
      <c r="P16" s="186">
        <f t="shared" si="12"/>
        <v>2.6223166203835997</v>
      </c>
      <c r="Q16" s="186">
        <f t="shared" si="12"/>
        <v>3.0977380214237744</v>
      </c>
      <c r="R16" s="186">
        <f t="shared" si="12"/>
        <v>5.8785558311674748</v>
      </c>
      <c r="S16" s="186">
        <f t="shared" si="12"/>
        <v>7.0991605992124249</v>
      </c>
      <c r="T16" s="186">
        <f t="shared" si="12"/>
        <v>4.7050798093074997</v>
      </c>
      <c r="U16" s="186">
        <f t="shared" si="12"/>
        <v>4.0085233180150004</v>
      </c>
      <c r="V16" s="186">
        <f t="shared" si="12"/>
        <v>4.9279933432724992</v>
      </c>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row>
    <row r="17" spans="1:57" s="22" customFormat="1" x14ac:dyDescent="0.25">
      <c r="A17" s="203"/>
      <c r="B17" s="23" t="s">
        <v>14</v>
      </c>
      <c r="C17" s="24" t="s">
        <v>30</v>
      </c>
      <c r="D17" s="187">
        <f>IFERROR((VLOOKUP($B17,'6'!$A$4:$K$19,2,FALSE)/1000),"")</f>
        <v>40131.250265999995</v>
      </c>
      <c r="E17" s="187">
        <f>IFERROR((VLOOKUP($B17,'6'!$A$4:$K$19,3,FALSE)/1000),"")</f>
        <v>40312.842918510003</v>
      </c>
      <c r="F17" s="187">
        <f>IFERROR((VLOOKUP($B17,'6'!$A$4:$K$19,4,FALSE)/1000),"")</f>
        <v>42704.489989100002</v>
      </c>
      <c r="G17" s="187">
        <f>IFERROR((VLOOKUP($B17,'6'!$A$4:$K$19,5,FALSE)/1000),"")</f>
        <v>51775.020668352001</v>
      </c>
      <c r="H17" s="187">
        <f>IFERROR((VLOOKUP($B17,'6'!$A$4:$K$19,6,FALSE)/1000),"")</f>
        <v>56818.896172100001</v>
      </c>
      <c r="I17" s="187">
        <f>IFERROR((VLOOKUP($B17,'6'!$A$4:$K$19,7,FALSE)/1000),"")</f>
        <v>62709.801558899999</v>
      </c>
      <c r="J17" s="187">
        <f>IFERROR((VLOOKUP($B17,'6'!$A$4:$K$19,8,FALSE)/1000),"")</f>
        <v>68132.940107999995</v>
      </c>
      <c r="K17" s="187">
        <f>IFERROR((VLOOKUP($B17,'6'!$A$4:$K$19,9,FALSE)/1000),"")</f>
        <v>68401.618983499982</v>
      </c>
      <c r="L17" s="187">
        <f>IFERROR((VLOOKUP($B17,'6'!$A$4:$K$19,10,FALSE)/1000),"")</f>
        <v>80299.404845659999</v>
      </c>
      <c r="M17" s="187">
        <f>IFERROR((VLOOKUP($B17,'6'!$A$4:$K$19,11,FALSE)/1000),"")</f>
        <v>82736.781229</v>
      </c>
      <c r="N17" s="186">
        <f t="shared" si="13"/>
        <v>40.176648429127496</v>
      </c>
      <c r="O17" s="186">
        <f t="shared" si="12"/>
        <v>40.910754686157503</v>
      </c>
      <c r="P17" s="186">
        <f t="shared" si="12"/>
        <v>44.972122658913001</v>
      </c>
      <c r="Q17" s="186">
        <f t="shared" si="12"/>
        <v>53.035989544289002</v>
      </c>
      <c r="R17" s="186">
        <f t="shared" si="12"/>
        <v>58.291622518799997</v>
      </c>
      <c r="S17" s="186">
        <f t="shared" si="12"/>
        <v>64.065586196175005</v>
      </c>
      <c r="T17" s="186">
        <f t="shared" si="12"/>
        <v>68.200109826874993</v>
      </c>
      <c r="U17" s="186">
        <f t="shared" si="12"/>
        <v>71.37606544903997</v>
      </c>
      <c r="V17" s="186">
        <f t="shared" si="12"/>
        <v>80.908748941494991</v>
      </c>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row>
    <row r="18" spans="1:57" s="22" customFormat="1" x14ac:dyDescent="0.25">
      <c r="A18" s="203"/>
      <c r="B18" s="23" t="s">
        <v>15</v>
      </c>
      <c r="C18" s="31" t="s">
        <v>36</v>
      </c>
      <c r="D18" s="187">
        <f>IFERROR((VLOOKUP($B18,'6'!$A$4:$K$19,2,FALSE)/1000),"")</f>
        <v>630.00791979199994</v>
      </c>
      <c r="E18" s="187">
        <f>IFERROR((VLOOKUP($B18,'6'!$A$4:$K$19,3,FALSE)/1000),"")</f>
        <v>737.78055077999977</v>
      </c>
      <c r="F18" s="187">
        <f>IFERROR((VLOOKUP($B18,'6'!$A$4:$K$19,4,FALSE)/1000),"")</f>
        <v>790.72552639289972</v>
      </c>
      <c r="G18" s="187">
        <f>IFERROR((VLOOKUP($B18,'6'!$A$4:$K$19,5,FALSE)/1000),"")</f>
        <v>995.86690011479993</v>
      </c>
      <c r="H18" s="187">
        <f>IFERROR((VLOOKUP($B18,'6'!$A$4:$K$19,6,FALSE)/1000),"")</f>
        <v>1604.548065601</v>
      </c>
      <c r="I18" s="187">
        <f>IFERROR((VLOOKUP($B18,'6'!$A$4:$K$19,7,FALSE)/1000),"")</f>
        <v>1858.9586461999997</v>
      </c>
      <c r="J18" s="187">
        <f>IFERROR((VLOOKUP($B18,'6'!$A$4:$K$19,8,FALSE)/1000),"")</f>
        <v>2752.0061090319996</v>
      </c>
      <c r="K18" s="187">
        <f>IFERROR((VLOOKUP($B18,'6'!$A$4:$K$19,9,FALSE)/1000),"")</f>
        <v>2108.3031426999996</v>
      </c>
      <c r="L18" s="187">
        <f>IFERROR((VLOOKUP($B18,'6'!$A$4:$K$19,10,FALSE)/1000),"")</f>
        <v>2432.3401168869996</v>
      </c>
      <c r="M18" s="187">
        <f>IFERROR((VLOOKUP($B18,'6'!$A$4:$K$19,11,FALSE)/1000),"")</f>
        <v>8800.5801520619989</v>
      </c>
      <c r="N18" s="186">
        <f t="shared" si="13"/>
        <v>0.65695107753899995</v>
      </c>
      <c r="O18" s="186">
        <f t="shared" si="12"/>
        <v>0.75101679468322469</v>
      </c>
      <c r="P18" s="186">
        <f t="shared" si="12"/>
        <v>0.84201086982337481</v>
      </c>
      <c r="Q18" s="186">
        <f t="shared" si="12"/>
        <v>1.1480371914863499</v>
      </c>
      <c r="R18" s="186">
        <f t="shared" si="12"/>
        <v>1.6681507107507498</v>
      </c>
      <c r="S18" s="186">
        <f t="shared" si="12"/>
        <v>2.0822205119079999</v>
      </c>
      <c r="T18" s="186">
        <f t="shared" si="12"/>
        <v>2.5910803674489999</v>
      </c>
      <c r="U18" s="186">
        <f t="shared" si="12"/>
        <v>2.1893123862467494</v>
      </c>
      <c r="V18" s="186">
        <f t="shared" si="12"/>
        <v>4.0244001256807493</v>
      </c>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row>
    <row r="19" spans="1:57" s="22" customFormat="1" x14ac:dyDescent="0.25">
      <c r="A19" s="203"/>
      <c r="B19" s="23" t="s">
        <v>16</v>
      </c>
      <c r="C19" s="31" t="s">
        <v>37</v>
      </c>
      <c r="D19" s="187">
        <f>IFERROR((VLOOKUP($B19,'6'!$A$4:$K$19,2,FALSE)/1000),"")</f>
        <v>3349.209831787</v>
      </c>
      <c r="E19" s="187">
        <f>IFERROR((VLOOKUP($B19,'6'!$A$4:$K$19,3,FALSE)/1000),"")</f>
        <v>3301.6975725157995</v>
      </c>
      <c r="F19" s="187">
        <f>IFERROR((VLOOKUP($B19,'6'!$A$4:$K$19,4,FALSE)/1000),"")</f>
        <v>3891.2009168953</v>
      </c>
      <c r="G19" s="187">
        <f>IFERROR((VLOOKUP($B19,'6'!$A$4:$K$19,5,FALSE)/1000),"")</f>
        <v>4130.6688987919997</v>
      </c>
      <c r="H19" s="187">
        <f>IFERROR((VLOOKUP($B19,'6'!$A$4:$K$19,6,FALSE)/1000),"")</f>
        <v>2729.2689726613007</v>
      </c>
      <c r="I19" s="187">
        <f>IFERROR((VLOOKUP($B19,'6'!$A$4:$K$19,7,FALSE)/1000),"")</f>
        <v>12182.722622000001</v>
      </c>
      <c r="J19" s="187">
        <f>IFERROR((VLOOKUP($B19,'6'!$A$4:$K$19,8,FALSE)/1000),"")</f>
        <v>1635.9514958235993</v>
      </c>
      <c r="K19" s="187">
        <f>IFERROR((VLOOKUP($B19,'6'!$A$4:$K$19,9,FALSE)/1000),"")</f>
        <v>3897.5232609600002</v>
      </c>
      <c r="L19" s="187">
        <f>IFERROR((VLOOKUP($B19,'6'!$A$4:$K$19,10,FALSE)/1000),"")</f>
        <v>9712.6617166230008</v>
      </c>
      <c r="M19" s="187">
        <f>IFERROR((VLOOKUP($B19,'6'!$A$4:$K$19,11,FALSE)/1000),"")</f>
        <v>9377.7118693000011</v>
      </c>
      <c r="N19" s="186">
        <f t="shared" si="13"/>
        <v>3.3373317669691995</v>
      </c>
      <c r="O19" s="186">
        <f t="shared" si="12"/>
        <v>3.4490734086106749</v>
      </c>
      <c r="P19" s="186">
        <f t="shared" si="12"/>
        <v>3.9510679123694743</v>
      </c>
      <c r="Q19" s="186">
        <f t="shared" si="12"/>
        <v>3.7803189172593252</v>
      </c>
      <c r="R19" s="186">
        <f t="shared" si="12"/>
        <v>5.0926323849959756</v>
      </c>
      <c r="S19" s="186">
        <f t="shared" si="12"/>
        <v>9.5460298404558994</v>
      </c>
      <c r="T19" s="186">
        <f t="shared" si="12"/>
        <v>2.2013444371076996</v>
      </c>
      <c r="U19" s="186">
        <f t="shared" si="12"/>
        <v>5.3513078748757508</v>
      </c>
      <c r="V19" s="186">
        <f t="shared" si="12"/>
        <v>9.6289242547922509</v>
      </c>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row>
    <row r="20" spans="1:57" s="22" customFormat="1" x14ac:dyDescent="0.25">
      <c r="A20" s="203"/>
      <c r="B20" s="23" t="s">
        <v>17</v>
      </c>
      <c r="C20" s="31" t="s">
        <v>35</v>
      </c>
      <c r="D20" s="187">
        <f>IFERROR((VLOOKUP($B20,'6'!$A$4:$K$19,2,FALSE)/1000),"")</f>
        <v>21.7703624</v>
      </c>
      <c r="E20" s="187">
        <f>IFERROR((VLOOKUP($B20,'6'!$A$4:$K$19,3,FALSE)/1000),"")</f>
        <v>23.223412</v>
      </c>
      <c r="F20" s="187">
        <f>IFERROR((VLOOKUP($B20,'6'!$A$4:$K$19,4,FALSE)/1000),"")</f>
        <v>5.5642389000000003</v>
      </c>
      <c r="G20" s="187">
        <f>IFERROR((VLOOKUP($B20,'6'!$A$4:$K$19,5,FALSE)/1000),"")</f>
        <v>8.9467750000000006</v>
      </c>
      <c r="H20" s="187">
        <f>IFERROR((VLOOKUP($B20,'6'!$A$4:$K$19,6,FALSE)/1000),"")</f>
        <v>17.990139877699999</v>
      </c>
      <c r="I20" s="187">
        <f>IFERROR((VLOOKUP($B20,'6'!$A$4:$K$19,7,FALSE)/1000),"")</f>
        <v>70.390867</v>
      </c>
      <c r="J20" s="187">
        <f>IFERROR((VLOOKUP($B20,'6'!$A$4:$K$19,8,FALSE)/1000),"")</f>
        <v>54.224978729999997</v>
      </c>
      <c r="K20" s="187">
        <f>IFERROR((VLOOKUP($B20,'6'!$A$4:$K$19,9,FALSE)/1000),"")</f>
        <v>59.86012817999999</v>
      </c>
      <c r="L20" s="187">
        <f>IFERROR((VLOOKUP($B20,'6'!$A$4:$K$19,10,FALSE)/1000),"")</f>
        <v>39.770438900000002</v>
      </c>
      <c r="M20" s="187">
        <f>IFERROR((VLOOKUP($B20,'6'!$A$4:$K$19,11,FALSE)/1000),"")</f>
        <v>16.463010000000001</v>
      </c>
      <c r="N20" s="186">
        <f t="shared" si="13"/>
        <v>2.2133624800000001E-2</v>
      </c>
      <c r="O20" s="186">
        <f t="shared" si="12"/>
        <v>1.8808618725000004E-2</v>
      </c>
      <c r="P20" s="186">
        <f t="shared" si="12"/>
        <v>6.4098729249999998E-3</v>
      </c>
      <c r="Q20" s="186">
        <f t="shared" si="12"/>
        <v>1.1207616219424999E-2</v>
      </c>
      <c r="R20" s="186">
        <f t="shared" si="12"/>
        <v>3.1090321658274998E-2</v>
      </c>
      <c r="S20" s="186">
        <f t="shared" si="12"/>
        <v>6.6349394932499986E-2</v>
      </c>
      <c r="T20" s="186">
        <f t="shared" si="12"/>
        <v>5.5633766092499995E-2</v>
      </c>
      <c r="U20" s="186">
        <f t="shared" si="12"/>
        <v>5.4837705859999988E-2</v>
      </c>
      <c r="V20" s="186">
        <f t="shared" si="12"/>
        <v>3.3943581675000008E-2</v>
      </c>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row>
    <row r="21" spans="1:57" s="22" customFormat="1" x14ac:dyDescent="0.25">
      <c r="A21" s="203"/>
      <c r="B21" s="23" t="s">
        <v>18</v>
      </c>
      <c r="C21" s="31" t="s">
        <v>34</v>
      </c>
      <c r="D21" s="187">
        <f>IFERROR((VLOOKUP($B21,'6'!$A$4:$K$19,2,FALSE)/1000),"")</f>
        <v>141.08419000000001</v>
      </c>
      <c r="E21" s="187">
        <f>IFERROR((VLOOKUP($B21,'6'!$A$4:$K$19,3,FALSE)/1000),"")</f>
        <v>120.67587999999998</v>
      </c>
      <c r="F21" s="187">
        <f>IFERROR((VLOOKUP($B21,'6'!$A$4:$K$19,4,FALSE)/1000),"")</f>
        <v>123.09448481660002</v>
      </c>
      <c r="G21" s="187">
        <f>IFERROR((VLOOKUP($B21,'6'!$A$4:$K$19,5,FALSE)/1000),"")</f>
        <v>-23.847309999999997</v>
      </c>
      <c r="H21" s="187">
        <f>IFERROR((VLOOKUP($B21,'6'!$A$4:$K$19,6,FALSE)/1000),"")</f>
        <v>134.08027799999999</v>
      </c>
      <c r="I21" s="187">
        <f>IFERROR((VLOOKUP($B21,'6'!$A$4:$K$19,7,FALSE)/1000),"")</f>
        <v>257.9971463</v>
      </c>
      <c r="J21" s="187">
        <f>IFERROR((VLOOKUP($B21,'6'!$A$4:$K$19,8,FALSE)/1000),"")</f>
        <v>252.57718</v>
      </c>
      <c r="K21" s="187">
        <f>IFERROR((VLOOKUP($B21,'6'!$A$4:$K$19,9,FALSE)/1000),"")</f>
        <v>215.82741700000003</v>
      </c>
      <c r="L21" s="187">
        <f>IFERROR((VLOOKUP($B21,'6'!$A$4:$K$19,10,FALSE)/1000),"")</f>
        <v>355.95991572000003</v>
      </c>
      <c r="M21" s="187">
        <f>IFERROR((VLOOKUP($B21,'6'!$A$4:$K$19,11,FALSE)/1000),"")</f>
        <v>184.93876070760001</v>
      </c>
      <c r="N21" s="186">
        <f t="shared" si="13"/>
        <v>0.1359821125</v>
      </c>
      <c r="O21" s="186">
        <f t="shared" si="12"/>
        <v>0.12128053120414999</v>
      </c>
      <c r="P21" s="186">
        <f t="shared" si="12"/>
        <v>8.6359036112450008E-2</v>
      </c>
      <c r="Q21" s="186">
        <f t="shared" si="12"/>
        <v>1.5634586999999998E-2</v>
      </c>
      <c r="R21" s="186">
        <f t="shared" si="12"/>
        <v>0.16505949507499998</v>
      </c>
      <c r="S21" s="186">
        <f t="shared" si="12"/>
        <v>0.25664215472500002</v>
      </c>
      <c r="T21" s="186">
        <f t="shared" si="12"/>
        <v>0.24338973924999999</v>
      </c>
      <c r="U21" s="186">
        <f t="shared" si="12"/>
        <v>0.25086054168000005</v>
      </c>
      <c r="V21" s="186">
        <f t="shared" si="12"/>
        <v>0.31320462696690005</v>
      </c>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row>
    <row r="22" spans="1:57" s="22" customFormat="1" x14ac:dyDescent="0.25">
      <c r="A22" s="203"/>
      <c r="B22" s="23" t="s">
        <v>19</v>
      </c>
      <c r="C22" s="31" t="s">
        <v>33</v>
      </c>
      <c r="D22" s="187">
        <f>IFERROR((VLOOKUP($B22,'6'!$A$4:$K$19,2,FALSE)/1000),"")</f>
        <v>0</v>
      </c>
      <c r="E22" s="187">
        <f>IFERROR((VLOOKUP($B22,'6'!$A$4:$K$19,3,FALSE)/1000),"")</f>
        <v>0</v>
      </c>
      <c r="F22" s="187">
        <f>IFERROR((VLOOKUP($B22,'6'!$A$4:$K$19,4,FALSE)/1000),"")</f>
        <v>-2.8770059999999999E-4</v>
      </c>
      <c r="G22" s="187">
        <f>IFERROR((VLOOKUP($B22,'6'!$A$4:$K$19,5,FALSE)/1000),"")</f>
        <v>0.56968297180000005</v>
      </c>
      <c r="H22" s="187">
        <f>IFERROR((VLOOKUP($B22,'6'!$A$4:$K$19,6,FALSE)/1000),"")</f>
        <v>792.71432675999984</v>
      </c>
      <c r="I22" s="187">
        <f>IFERROR((VLOOKUP($B22,'6'!$A$4:$K$19,7,FALSE)/1000),"")</f>
        <v>1.8086778400000001</v>
      </c>
      <c r="J22" s="187">
        <f>IFERROR((VLOOKUP($B22,'6'!$A$4:$K$19,8,FALSE)/1000),"")</f>
        <v>-0.13242390000000001</v>
      </c>
      <c r="K22" s="187">
        <f>IFERROR((VLOOKUP($B22,'6'!$A$4:$K$19,9,FALSE)/1000),"")</f>
        <v>-3.7114519999999998E-2</v>
      </c>
      <c r="L22" s="187">
        <f>IFERROR((VLOOKUP($B22,'6'!$A$4:$K$19,10,FALSE)/1000),"")</f>
        <v>10.200163002</v>
      </c>
      <c r="M22" s="187">
        <f>IFERROR((VLOOKUP($B22,'6'!$A$4:$K$19,11,FALSE)/1000),"")</f>
        <v>0.309832422</v>
      </c>
      <c r="N22" s="186">
        <f t="shared" si="13"/>
        <v>0</v>
      </c>
      <c r="O22" s="186">
        <f t="shared" si="12"/>
        <v>-7.1925149999999992E-8</v>
      </c>
      <c r="P22" s="186">
        <f t="shared" si="12"/>
        <v>1.4220496750000001E-4</v>
      </c>
      <c r="Q22" s="186">
        <f t="shared" si="12"/>
        <v>0.19860584391884994</v>
      </c>
      <c r="R22" s="186">
        <f t="shared" si="12"/>
        <v>0.59498791452999988</v>
      </c>
      <c r="S22" s="186">
        <f t="shared" si="12"/>
        <v>1.3234024050000001E-3</v>
      </c>
      <c r="T22" s="186">
        <f t="shared" si="12"/>
        <v>-1.0859655499999999E-4</v>
      </c>
      <c r="U22" s="186">
        <f t="shared" si="12"/>
        <v>2.5222048604999999E-3</v>
      </c>
      <c r="V22" s="186">
        <f t="shared" si="12"/>
        <v>7.7275803570000003E-3</v>
      </c>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row>
    <row r="23" spans="1:57" s="30" customFormat="1" x14ac:dyDescent="0.25">
      <c r="A23" s="203"/>
      <c r="B23" s="27" t="s">
        <v>20</v>
      </c>
      <c r="C23" s="32" t="s">
        <v>32</v>
      </c>
      <c r="D23" s="187">
        <f>IFERROR((VLOOKUP($B23,'6'!$A$4:$K$19,2,FALSE)/1000),"")</f>
        <v>5474.6556328989991</v>
      </c>
      <c r="E23" s="187">
        <f>IFERROR((VLOOKUP($B23,'6'!$A$4:$K$19,3,FALSE)/1000),"")</f>
        <v>4844.7973749610992</v>
      </c>
      <c r="F23" s="187">
        <f>IFERROR((VLOOKUP($B23,'6'!$A$4:$K$19,4,FALSE)/1000),"")</f>
        <v>5382.9720208533017</v>
      </c>
      <c r="G23" s="187">
        <f>IFERROR((VLOOKUP($B23,'6'!$A$4:$K$19,5,FALSE)/1000),"")</f>
        <v>8681.786118561</v>
      </c>
      <c r="H23" s="187">
        <f>IFERROR((VLOOKUP($B23,'6'!$A$4:$K$19,6,FALSE)/1000),"")</f>
        <v>8995.796855999999</v>
      </c>
      <c r="I23" s="187">
        <f>IFERROR((VLOOKUP($B23,'6'!$A$4:$K$19,7,FALSE)/1000),"")</f>
        <v>9202.630169</v>
      </c>
      <c r="J23" s="187">
        <f>IFERROR((VLOOKUP($B23,'6'!$A$4:$K$19,8,FALSE)/1000),"")</f>
        <v>10227.170520859998</v>
      </c>
      <c r="K23" s="187">
        <f>IFERROR((VLOOKUP($B23,'6'!$A$4:$K$19,9,FALSE)/1000),"")</f>
        <v>12132.6746298</v>
      </c>
      <c r="L23" s="187">
        <f>IFERROR((VLOOKUP($B23,'6'!$A$4:$K$19,10,FALSE)/1000),"")</f>
        <v>5780.8854057999988</v>
      </c>
      <c r="M23" s="187">
        <f>IFERROR((VLOOKUP($B23,'6'!$A$4:$K$19,11,FALSE)/1000),"")</f>
        <v>14091.265899999999</v>
      </c>
      <c r="N23" s="186">
        <f t="shared" si="13"/>
        <v>5.317191068414524</v>
      </c>
      <c r="O23" s="186">
        <f t="shared" si="12"/>
        <v>4.9793410364341497</v>
      </c>
      <c r="P23" s="186">
        <f t="shared" si="12"/>
        <v>6.2076755452802264</v>
      </c>
      <c r="Q23" s="186">
        <f t="shared" si="12"/>
        <v>8.7602888029207495</v>
      </c>
      <c r="R23" s="186">
        <f t="shared" si="12"/>
        <v>9.0475051842499994</v>
      </c>
      <c r="S23" s="186">
        <f t="shared" si="12"/>
        <v>9.458765256965</v>
      </c>
      <c r="T23" s="186">
        <f t="shared" si="12"/>
        <v>10.703546548094998</v>
      </c>
      <c r="U23" s="186">
        <f t="shared" si="12"/>
        <v>10.5447273238</v>
      </c>
      <c r="V23" s="186">
        <f t="shared" si="12"/>
        <v>7.8584805293499986</v>
      </c>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row>
    <row r="24" spans="1:57" s="22" customFormat="1" x14ac:dyDescent="0.25">
      <c r="A24" s="203"/>
      <c r="B24" s="23" t="s">
        <v>21</v>
      </c>
      <c r="C24" s="31" t="s">
        <v>31</v>
      </c>
      <c r="D24" s="187">
        <f>IFERROR((VLOOKUP($B24,'6'!$A$4:$K$19,2,FALSE)/1000),"")</f>
        <v>183.87420683900001</v>
      </c>
      <c r="E24" s="187">
        <f>IFERROR((VLOOKUP($B24,'6'!$A$4:$K$19,3,FALSE)/1000),"")</f>
        <v>2336.0064222989004</v>
      </c>
      <c r="F24" s="187">
        <f>IFERROR((VLOOKUP($B24,'6'!$A$4:$K$19,4,FALSE)/1000),"")</f>
        <v>114.99673361260002</v>
      </c>
      <c r="G24" s="187">
        <f>IFERROR((VLOOKUP($B24,'6'!$A$4:$K$19,5,FALSE)/1000),"")</f>
        <v>-37.604198977299973</v>
      </c>
      <c r="H24" s="187">
        <f>IFERROR((VLOOKUP($B24,'6'!$A$4:$K$19,6,FALSE)/1000),"")</f>
        <v>-765.10628308729997</v>
      </c>
      <c r="I24" s="187">
        <f>IFERROR((VLOOKUP($B24,'6'!$A$4:$K$19,7,FALSE)/1000),"")</f>
        <v>1386.3934986999998</v>
      </c>
      <c r="J24" s="187">
        <f>IFERROR((VLOOKUP($B24,'6'!$A$4:$K$19,8,FALSE)/1000),"")</f>
        <v>940.90346520000014</v>
      </c>
      <c r="K24" s="187">
        <f>IFERROR((VLOOKUP($B24,'6'!$A$4:$K$19,9,FALSE)/1000),"")</f>
        <v>1858.4491605999999</v>
      </c>
      <c r="L24" s="187">
        <f>IFERROR((VLOOKUP($B24,'6'!$A$4:$K$19,10,FALSE)/1000),"")</f>
        <v>3000.7776684699998</v>
      </c>
      <c r="M24" s="187">
        <f>IFERROR((VLOOKUP($B24,'6'!$A$4:$K$19,11,FALSE)/1000),"")</f>
        <v>2031.3295444999999</v>
      </c>
      <c r="N24" s="186">
        <f t="shared" si="13"/>
        <v>0.72190726070397515</v>
      </c>
      <c r="O24" s="186">
        <f t="shared" si="12"/>
        <v>1.7807540001273252</v>
      </c>
      <c r="P24" s="186">
        <f t="shared" si="12"/>
        <v>7.6846500465125034E-2</v>
      </c>
      <c r="Q24" s="186">
        <f t="shared" si="12"/>
        <v>-0.21947972000479996</v>
      </c>
      <c r="R24" s="186">
        <f t="shared" si="12"/>
        <v>-0.2272313376404751</v>
      </c>
      <c r="S24" s="186">
        <f t="shared" si="12"/>
        <v>1.275020990325</v>
      </c>
      <c r="T24" s="186">
        <f t="shared" si="12"/>
        <v>1.17028988905</v>
      </c>
      <c r="U24" s="186">
        <f t="shared" si="12"/>
        <v>2.1440312875675001</v>
      </c>
      <c r="V24" s="186">
        <f t="shared" si="12"/>
        <v>2.7584156374775</v>
      </c>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row>
    <row r="25" spans="1:57" s="22" customFormat="1" x14ac:dyDescent="0.25">
      <c r="A25" s="203"/>
      <c r="B25" s="33" t="s">
        <v>182</v>
      </c>
      <c r="C25" s="34" t="s">
        <v>185</v>
      </c>
      <c r="D25" s="197" t="s">
        <v>268</v>
      </c>
      <c r="E25" s="197"/>
      <c r="F25" s="197"/>
      <c r="G25" s="197"/>
      <c r="H25" s="197"/>
      <c r="I25" s="197"/>
      <c r="J25" s="197"/>
      <c r="K25" s="197"/>
      <c r="L25" s="197"/>
      <c r="M25" s="197"/>
      <c r="N25" s="197"/>
      <c r="O25" s="197"/>
      <c r="P25" s="197"/>
      <c r="Q25" s="197"/>
      <c r="R25" s="197"/>
      <c r="S25" s="197"/>
      <c r="T25" s="197"/>
      <c r="U25" s="197"/>
      <c r="V25" s="197"/>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row>
    <row r="26" spans="1:57" s="22" customFormat="1" x14ac:dyDescent="0.25">
      <c r="A26" s="203"/>
      <c r="B26" s="33" t="s">
        <v>183</v>
      </c>
      <c r="C26" s="34" t="s">
        <v>186</v>
      </c>
      <c r="D26" s="197"/>
      <c r="E26" s="197"/>
      <c r="F26" s="197"/>
      <c r="G26" s="197"/>
      <c r="H26" s="197"/>
      <c r="I26" s="197"/>
      <c r="J26" s="197"/>
      <c r="K26" s="197"/>
      <c r="L26" s="197"/>
      <c r="M26" s="197"/>
      <c r="N26" s="197"/>
      <c r="O26" s="197"/>
      <c r="P26" s="197"/>
      <c r="Q26" s="197"/>
      <c r="R26" s="197"/>
      <c r="S26" s="197"/>
      <c r="T26" s="197"/>
      <c r="U26" s="197"/>
      <c r="V26" s="197"/>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row>
    <row r="27" spans="1:57" s="22" customFormat="1" x14ac:dyDescent="0.25">
      <c r="A27" s="203"/>
      <c r="B27" s="33" t="s">
        <v>184</v>
      </c>
      <c r="C27" s="34" t="s">
        <v>187</v>
      </c>
      <c r="D27" s="197"/>
      <c r="E27" s="197"/>
      <c r="F27" s="197"/>
      <c r="G27" s="197"/>
      <c r="H27" s="197"/>
      <c r="I27" s="197"/>
      <c r="J27" s="197"/>
      <c r="K27" s="197"/>
      <c r="L27" s="197"/>
      <c r="M27" s="197"/>
      <c r="N27" s="197"/>
      <c r="O27" s="197"/>
      <c r="P27" s="197"/>
      <c r="Q27" s="197"/>
      <c r="R27" s="197"/>
      <c r="S27" s="197"/>
      <c r="T27" s="197"/>
      <c r="U27" s="197"/>
      <c r="V27" s="197"/>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row>
    <row r="28" spans="1:57" x14ac:dyDescent="0.25">
      <c r="A28" s="202" t="s">
        <v>3</v>
      </c>
      <c r="B28" s="35" t="s">
        <v>106</v>
      </c>
      <c r="C28" s="21" t="s">
        <v>1</v>
      </c>
      <c r="D28" s="154">
        <f t="shared" ref="D28:M28" si="14">SUM(D29:D37)</f>
        <v>55423.298588160003</v>
      </c>
      <c r="E28" s="154">
        <f t="shared" si="14"/>
        <v>60851.506425410997</v>
      </c>
      <c r="F28" s="154">
        <f t="shared" si="14"/>
        <v>64710.099380271</v>
      </c>
      <c r="G28" s="154">
        <f t="shared" si="14"/>
        <v>69492.201299230015</v>
      </c>
      <c r="H28" s="154">
        <f t="shared" si="14"/>
        <v>75704.205831429979</v>
      </c>
      <c r="I28" s="154">
        <f t="shared" si="14"/>
        <v>83482.109996462008</v>
      </c>
      <c r="J28" s="154">
        <f t="shared" si="14"/>
        <v>91490.958342140002</v>
      </c>
      <c r="K28" s="154">
        <f t="shared" si="14"/>
        <v>93624.138556514998</v>
      </c>
      <c r="L28" s="154">
        <f t="shared" si="14"/>
        <v>94114.437591070004</v>
      </c>
      <c r="M28" s="154">
        <f t="shared" si="14"/>
        <v>106358.80298725</v>
      </c>
      <c r="N28" s="155">
        <f t="shared" ref="N28:U28" si="15">SUM(N29:N37)</f>
        <v>56.780350547472743</v>
      </c>
      <c r="O28" s="155">
        <f t="shared" si="15"/>
        <v>61.816154664125989</v>
      </c>
      <c r="P28" s="155">
        <f t="shared" si="15"/>
        <v>65.905624860010747</v>
      </c>
      <c r="Q28" s="155">
        <f t="shared" si="15"/>
        <v>71.045202432280007</v>
      </c>
      <c r="R28" s="155">
        <f t="shared" si="15"/>
        <v>77.648681872688002</v>
      </c>
      <c r="S28" s="155">
        <f t="shared" si="15"/>
        <v>85.484322082881505</v>
      </c>
      <c r="T28" s="155">
        <f t="shared" si="15"/>
        <v>92.024253395733737</v>
      </c>
      <c r="U28" s="155">
        <f t="shared" si="15"/>
        <v>93.746713315153741</v>
      </c>
      <c r="V28" s="155">
        <f t="shared" ref="V28" si="16">SUM(V29:V37)</f>
        <v>97.175528940115015</v>
      </c>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row>
    <row r="29" spans="1:57" x14ac:dyDescent="0.25">
      <c r="A29" s="202"/>
      <c r="B29" s="36" t="s">
        <v>38</v>
      </c>
      <c r="C29" s="31" t="s">
        <v>113</v>
      </c>
      <c r="D29" s="188">
        <f>IFERROR(VLOOKUP($B29,'7'!$A$5:$K$31,2,FALSE)/10^3,"")</f>
        <v>54026.13</v>
      </c>
      <c r="E29" s="188">
        <f>IFERROR(VLOOKUP($B29,'7'!$A$5:$K$31,3,FALSE)/10^3,"")</f>
        <v>59822.2</v>
      </c>
      <c r="F29" s="188">
        <f>IFERROR(VLOOKUP($B29,'7'!$A$5:$K$31,4,FALSE)/10^3,"")</f>
        <v>63013.36</v>
      </c>
      <c r="G29" s="188">
        <f>IFERROR(VLOOKUP($B29,'7'!$A$5:$K$31,5,FALSE)/10^3,"")</f>
        <v>67785.33</v>
      </c>
      <c r="H29" s="188">
        <f>IFERROR(VLOOKUP($B29,'7'!$A$5:$K$31,6,FALSE)/10^3,"")</f>
        <v>74403.028000000006</v>
      </c>
      <c r="I29" s="188">
        <f>IFERROR(VLOOKUP($B29,'7'!$A$5:$K$31,7,FALSE)/10^3,"")</f>
        <v>82138.760800000004</v>
      </c>
      <c r="J29" s="188">
        <f>IFERROR(VLOOKUP($B29,'7'!$A$5:$K$31,8,FALSE)/10^3,"")</f>
        <v>86498.4571</v>
      </c>
      <c r="K29" s="188">
        <f>IFERROR(VLOOKUP($B29,'7'!$A$5:$K$31,9,FALSE)/10^3,"")</f>
        <v>92144.699500000002</v>
      </c>
      <c r="L29" s="188">
        <f>IFERROR(VLOOKUP($B29,'7'!$A$5:$K$31,10,FALSE)/10^3,"")</f>
        <v>93985.128110000005</v>
      </c>
      <c r="M29" s="188">
        <f>IFERROR(VLOOKUP($B29,'7'!$A$5:$K$31,11,FALSE)/10^3,"")</f>
        <v>102366.61140000001</v>
      </c>
      <c r="N29" s="186">
        <f>IFERROR(((3/4)*D29+(1/4)*E29)/1000,"")</f>
        <v>55.475147499999991</v>
      </c>
      <c r="O29" s="186">
        <f t="shared" ref="O29:V37" si="17">IFERROR(((3/4)*E29+(1/4)*F29)/1000,"")</f>
        <v>60.619989999999987</v>
      </c>
      <c r="P29" s="186">
        <f t="shared" si="17"/>
        <v>64.206352500000008</v>
      </c>
      <c r="Q29" s="186">
        <f t="shared" si="17"/>
        <v>69.439754499999992</v>
      </c>
      <c r="R29" s="186">
        <f t="shared" si="17"/>
        <v>76.336961200000005</v>
      </c>
      <c r="S29" s="186">
        <f t="shared" si="17"/>
        <v>83.228684875000013</v>
      </c>
      <c r="T29" s="186">
        <f t="shared" si="17"/>
        <v>87.910017699999997</v>
      </c>
      <c r="U29" s="186">
        <f t="shared" si="17"/>
        <v>92.604806652500002</v>
      </c>
      <c r="V29" s="186">
        <f t="shared" si="17"/>
        <v>96.080498932500007</v>
      </c>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1:57" x14ac:dyDescent="0.25">
      <c r="A30" s="202"/>
      <c r="B30" s="36" t="s">
        <v>39</v>
      </c>
      <c r="C30" s="31" t="s">
        <v>114</v>
      </c>
      <c r="D30" s="188">
        <f>IFERROR(VLOOKUP($B30,'7'!$A$5:$K$31,2,FALSE)/10^3,"")</f>
        <v>921.50940000000003</v>
      </c>
      <c r="E30" s="188">
        <f>IFERROR(VLOOKUP($B30,'7'!$A$5:$K$31,3,FALSE)/10^3,"")</f>
        <v>671.25509999999997</v>
      </c>
      <c r="F30" s="188">
        <f>IFERROR(VLOOKUP($B30,'7'!$A$5:$K$31,4,FALSE)/10^3,"")</f>
        <v>855.78919999999994</v>
      </c>
      <c r="G30" s="188">
        <f>IFERROR(VLOOKUP($B30,'7'!$A$5:$K$31,5,FALSE)/10^3,"")</f>
        <v>1129.213</v>
      </c>
      <c r="H30" s="188">
        <f>IFERROR(VLOOKUP($B30,'7'!$A$5:$K$31,6,FALSE)/10^3,"")</f>
        <v>928.05959999999993</v>
      </c>
      <c r="I30" s="188">
        <f>IFERROR(VLOOKUP($B30,'7'!$A$5:$K$31,7,FALSE)/10^3,"")</f>
        <v>1031.5719999999999</v>
      </c>
      <c r="J30" s="188">
        <f>IFERROR(VLOOKUP($B30,'7'!$A$5:$K$31,8,FALSE)/10^3,"")</f>
        <v>1016.448</v>
      </c>
      <c r="K30" s="188">
        <f>IFERROR(VLOOKUP($B30,'7'!$A$5:$K$31,9,FALSE)/10^3,"")</f>
        <v>957.53569999999991</v>
      </c>
      <c r="L30" s="188">
        <f>IFERROR(VLOOKUP($B30,'7'!$A$5:$K$31,10,FALSE)/10^3,"")</f>
        <v>0</v>
      </c>
      <c r="M30" s="188">
        <f>IFERROR(VLOOKUP($B30,'7'!$A$5:$K$31,11,FALSE)/10^3,"")</f>
        <v>2401.09</v>
      </c>
      <c r="N30" s="186">
        <f t="shared" ref="N30:N37" si="18">IFERROR(((3/4)*D30+(1/4)*E30)/1000,"")</f>
        <v>0.85894582500000005</v>
      </c>
      <c r="O30" s="186">
        <f t="shared" si="17"/>
        <v>0.717388625</v>
      </c>
      <c r="P30" s="186">
        <f t="shared" si="17"/>
        <v>0.92414514999999986</v>
      </c>
      <c r="Q30" s="186">
        <f t="shared" si="17"/>
        <v>1.0789246499999998</v>
      </c>
      <c r="R30" s="186">
        <f t="shared" si="17"/>
        <v>0.9539377</v>
      </c>
      <c r="S30" s="186">
        <f t="shared" si="17"/>
        <v>1.0277909999999999</v>
      </c>
      <c r="T30" s="186">
        <f t="shared" si="17"/>
        <v>1.001719925</v>
      </c>
      <c r="U30" s="186">
        <f t="shared" si="17"/>
        <v>0.71815177499999994</v>
      </c>
      <c r="V30" s="186">
        <f t="shared" si="17"/>
        <v>0.60027249999999999</v>
      </c>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row>
    <row r="31" spans="1:57" x14ac:dyDescent="0.25">
      <c r="A31" s="202"/>
      <c r="B31" s="36" t="s">
        <v>40</v>
      </c>
      <c r="C31" s="31" t="s">
        <v>115</v>
      </c>
      <c r="D31" s="188">
        <f>IFERROR(VLOOKUP($B31,'7'!$A$5:$K$31,2,FALSE)/10^3,"")</f>
        <v>417.57659999999998</v>
      </c>
      <c r="E31" s="188">
        <f>IFERROR(VLOOKUP($B31,'7'!$A$5:$K$31,3,FALSE)/10^3,"")</f>
        <v>292.36329999999998</v>
      </c>
      <c r="F31" s="188">
        <f>IFERROR(VLOOKUP($B31,'7'!$A$5:$K$31,4,FALSE)/10^3,"")</f>
        <v>766.04409999999996</v>
      </c>
      <c r="G31" s="188">
        <f>IFERROR(VLOOKUP($B31,'7'!$A$5:$K$31,5,FALSE)/10^3,"")</f>
        <v>301.70269999999999</v>
      </c>
      <c r="H31" s="188">
        <f>IFERROR(VLOOKUP($B31,'7'!$A$5:$K$31,6,FALSE)/10^3,"")</f>
        <v>198.48400000000001</v>
      </c>
      <c r="I31" s="188">
        <f>IFERROR(VLOOKUP($B31,'7'!$A$5:$K$31,7,FALSE)/10^3,"")</f>
        <v>179.6643</v>
      </c>
      <c r="J31" s="188">
        <f>IFERROR(VLOOKUP($B31,'7'!$A$5:$K$31,8,FALSE)/10^3,"")</f>
        <v>3879.7950000000001</v>
      </c>
      <c r="K31" s="188">
        <f>IFERROR(VLOOKUP($B31,'7'!$A$5:$K$31,9,FALSE)/10^3,"")</f>
        <v>395.84459999999996</v>
      </c>
      <c r="L31" s="188">
        <f>IFERROR(VLOOKUP($B31,'7'!$A$5:$K$31,10,FALSE)/10^3,"")</f>
        <v>0</v>
      </c>
      <c r="M31" s="188">
        <f>IFERROR(VLOOKUP($B31,'7'!$A$5:$K$31,11,FALSE)/10^3,"")</f>
        <v>1292.7909999999999</v>
      </c>
      <c r="N31" s="186">
        <f>IFERROR(((3/4)*D31+(1/4)*E31)/1000,"")</f>
        <v>0.38627327500000003</v>
      </c>
      <c r="O31" s="186">
        <f t="shared" si="17"/>
        <v>0.41078350000000002</v>
      </c>
      <c r="P31" s="186">
        <f t="shared" si="17"/>
        <v>0.64995874999999992</v>
      </c>
      <c r="Q31" s="186">
        <f t="shared" si="17"/>
        <v>0.27589802499999994</v>
      </c>
      <c r="R31" s="186">
        <f t="shared" si="17"/>
        <v>0.193779075</v>
      </c>
      <c r="S31" s="186">
        <f t="shared" si="17"/>
        <v>1.104696975</v>
      </c>
      <c r="T31" s="186">
        <f t="shared" si="17"/>
        <v>3.0088074000000002</v>
      </c>
      <c r="U31" s="186">
        <f t="shared" si="17"/>
        <v>0.29688344999999999</v>
      </c>
      <c r="V31" s="186">
        <f t="shared" si="17"/>
        <v>0.32319775000000001</v>
      </c>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row>
    <row r="32" spans="1:57" x14ac:dyDescent="0.25">
      <c r="A32" s="202"/>
      <c r="B32" s="36" t="s">
        <v>73</v>
      </c>
      <c r="C32" s="37" t="s">
        <v>116</v>
      </c>
      <c r="D32" s="188" t="str">
        <f>IFERROR(VLOOKUP($B32,'7'!$A$5:$K$31,2,FALSE)/10^3,"")</f>
        <v/>
      </c>
      <c r="E32" s="188" t="str">
        <f>IFERROR(VLOOKUP($B32,'7'!$A$5:$K$31,3,FALSE)/10^3,"")</f>
        <v/>
      </c>
      <c r="F32" s="188" t="str">
        <f>IFERROR(VLOOKUP($B32,'7'!$A$5:$K$31,4,FALSE)/10^3,"")</f>
        <v/>
      </c>
      <c r="G32" s="188" t="str">
        <f>IFERROR(VLOOKUP($B32,'7'!$A$5:$K$31,5,FALSE)/10^3,"")</f>
        <v/>
      </c>
      <c r="H32" s="188" t="str">
        <f>IFERROR(VLOOKUP($B32,'7'!$A$5:$K$31,6,FALSE)/10^3,"")</f>
        <v/>
      </c>
      <c r="I32" s="188" t="str">
        <f>IFERROR(VLOOKUP($B32,'7'!$A$5:$K$31,7,FALSE)/10^3,"")</f>
        <v/>
      </c>
      <c r="J32" s="188" t="str">
        <f>IFERROR(VLOOKUP($B32,'7'!$A$5:$K$31,8,FALSE)/10^3,"")</f>
        <v/>
      </c>
      <c r="K32" s="188" t="str">
        <f>IFERROR(VLOOKUP($B32,'7'!$A$5:$K$31,9,FALSE)/10^3,"")</f>
        <v/>
      </c>
      <c r="L32" s="188" t="str">
        <f>IFERROR(VLOOKUP($B32,'7'!$A$5:$K$31,10,FALSE)/10^3,"")</f>
        <v/>
      </c>
      <c r="M32" s="188" t="str">
        <f>IFERROR(VLOOKUP($B32,'7'!$A$5:$K$31,11,FALSE)/10^3,"")</f>
        <v/>
      </c>
      <c r="N32" s="186" t="str">
        <f t="shared" si="18"/>
        <v/>
      </c>
      <c r="O32" s="186" t="str">
        <f t="shared" si="17"/>
        <v/>
      </c>
      <c r="P32" s="186" t="str">
        <f t="shared" si="17"/>
        <v/>
      </c>
      <c r="Q32" s="186" t="str">
        <f t="shared" si="17"/>
        <v/>
      </c>
      <c r="R32" s="186" t="str">
        <f t="shared" si="17"/>
        <v/>
      </c>
      <c r="S32" s="186" t="str">
        <f t="shared" si="17"/>
        <v/>
      </c>
      <c r="T32" s="186" t="str">
        <f t="shared" si="17"/>
        <v/>
      </c>
      <c r="U32" s="186" t="str">
        <f t="shared" si="17"/>
        <v/>
      </c>
      <c r="V32" s="186" t="str">
        <f t="shared" si="17"/>
        <v/>
      </c>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row>
    <row r="33" spans="1:57" x14ac:dyDescent="0.25">
      <c r="A33" s="202"/>
      <c r="B33" s="36" t="s">
        <v>41</v>
      </c>
      <c r="C33" s="38" t="s">
        <v>118</v>
      </c>
      <c r="D33" s="188">
        <f>IFERROR(VLOOKUP($B33,'7'!$A$5:$K$31,2,FALSE)/10^3,"")</f>
        <v>0.22353379999999998</v>
      </c>
      <c r="E33" s="188">
        <f>IFERROR(VLOOKUP($B33,'7'!$A$5:$K$31,3,FALSE)/10^3,"")</f>
        <v>1.9002110000000002E-3</v>
      </c>
      <c r="F33" s="188">
        <f>IFERROR(VLOOKUP($B33,'7'!$A$5:$K$31,4,FALSE)/10^3,"")</f>
        <v>0.35081727099999999</v>
      </c>
      <c r="G33" s="188">
        <f>IFERROR(VLOOKUP($B33,'7'!$A$5:$K$31,5,FALSE)/10^3,"")</f>
        <v>140.97981622999998</v>
      </c>
      <c r="H33" s="188">
        <f>IFERROR(VLOOKUP($B33,'7'!$A$5:$K$31,6,FALSE)/10^3,"")</f>
        <v>116.30615500000002</v>
      </c>
      <c r="I33" s="188">
        <f>IFERROR(VLOOKUP($B33,'7'!$A$5:$K$31,7,FALSE)/10^3,"")</f>
        <v>60.033147000000007</v>
      </c>
      <c r="J33" s="188">
        <f>IFERROR(VLOOKUP($B33,'7'!$A$5:$K$31,8,FALSE)/10^3,"")</f>
        <v>4.5968019599999996</v>
      </c>
      <c r="K33" s="188">
        <f>IFERROR(VLOOKUP($B33,'7'!$A$5:$K$31,9,FALSE)/10^3,"")</f>
        <v>40.743930799999994</v>
      </c>
      <c r="L33" s="188">
        <f>IFERROR(VLOOKUP($B33,'7'!$A$5:$K$31,10,FALSE)/10^3,"")</f>
        <v>5.9215182999999998</v>
      </c>
      <c r="M33" s="188">
        <f>IFERROR(VLOOKUP($B33,'7'!$A$5:$K$31,11,FALSE)/10^3,"")</f>
        <v>196.01418800000002</v>
      </c>
      <c r="N33" s="186">
        <f>IFERROR(((3/4)*D33+(1/4)*E33)/1000,"")</f>
        <v>1.6812540275E-4</v>
      </c>
      <c r="O33" s="186">
        <f t="shared" si="17"/>
        <v>8.9129476000000002E-5</v>
      </c>
      <c r="P33" s="186">
        <f t="shared" si="17"/>
        <v>3.5508067010749995E-2</v>
      </c>
      <c r="Q33" s="186">
        <f t="shared" si="17"/>
        <v>0.13481140092249999</v>
      </c>
      <c r="R33" s="186">
        <f t="shared" si="17"/>
        <v>0.10223790300000002</v>
      </c>
      <c r="S33" s="186">
        <f t="shared" si="17"/>
        <v>4.6174060740000002E-2</v>
      </c>
      <c r="T33" s="186">
        <f t="shared" si="17"/>
        <v>1.3633584169999999E-2</v>
      </c>
      <c r="U33" s="186">
        <f t="shared" si="17"/>
        <v>3.2038327674999999E-2</v>
      </c>
      <c r="V33" s="186">
        <f t="shared" si="17"/>
        <v>5.3444685725000003E-2</v>
      </c>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row>
    <row r="34" spans="1:57" x14ac:dyDescent="0.25">
      <c r="A34" s="202"/>
      <c r="B34" s="36" t="s">
        <v>42</v>
      </c>
      <c r="C34" s="38" t="s">
        <v>119</v>
      </c>
      <c r="D34" s="188">
        <f>IFERROR(VLOOKUP($B34,'7'!$A$5:$K$31,2,FALSE)/10^3,"")</f>
        <v>50.671849899999998</v>
      </c>
      <c r="E34" s="188">
        <f>IFERROR(VLOOKUP($B34,'7'!$A$5:$K$31,3,FALSE)/10^3,"")</f>
        <v>58.326717599999995</v>
      </c>
      <c r="F34" s="188">
        <f>IFERROR(VLOOKUP($B34,'7'!$A$5:$K$31,4,FALSE)/10^3,"")</f>
        <v>67.597879000000006</v>
      </c>
      <c r="G34" s="188">
        <f>IFERROR(VLOOKUP($B34,'7'!$A$5:$K$31,5,FALSE)/10^3,"")</f>
        <v>75.105913000000001</v>
      </c>
      <c r="H34" s="188">
        <f>IFERROR(VLOOKUP($B34,'7'!$A$5:$K$31,6,FALSE)/10^3,"")</f>
        <v>49.784599999999998</v>
      </c>
      <c r="I34" s="188">
        <f>IFERROR(VLOOKUP($B34,'7'!$A$5:$K$31,7,FALSE)/10^3,"")</f>
        <v>62.649726000000001</v>
      </c>
      <c r="J34" s="188">
        <f>IFERROR(VLOOKUP($B34,'7'!$A$5:$K$31,8,FALSE)/10^3,"")</f>
        <v>81.72928764000001</v>
      </c>
      <c r="K34" s="188">
        <f>IFERROR(VLOOKUP($B34,'7'!$A$5:$K$31,9,FALSE)/10^3,"")</f>
        <v>77.460679999999996</v>
      </c>
      <c r="L34" s="188">
        <f>IFERROR(VLOOKUP($B34,'7'!$A$5:$K$31,10,FALSE)/10^3,"")</f>
        <v>119.76649701000001</v>
      </c>
      <c r="M34" s="188">
        <f>IFERROR(VLOOKUP($B34,'7'!$A$5:$K$31,11,FALSE)/10^3,"")</f>
        <v>93.420533280000001</v>
      </c>
      <c r="N34" s="186">
        <f t="shared" si="18"/>
        <v>5.2585566824999999E-2</v>
      </c>
      <c r="O34" s="186">
        <f t="shared" si="17"/>
        <v>6.0644507949999996E-2</v>
      </c>
      <c r="P34" s="186">
        <f t="shared" si="17"/>
        <v>6.9474887500000013E-2</v>
      </c>
      <c r="Q34" s="186">
        <f t="shared" si="17"/>
        <v>6.8775584750000007E-2</v>
      </c>
      <c r="R34" s="186">
        <f t="shared" si="17"/>
        <v>5.3000881499999992E-2</v>
      </c>
      <c r="S34" s="186">
        <f t="shared" si="17"/>
        <v>6.7419616410000008E-2</v>
      </c>
      <c r="T34" s="186">
        <f t="shared" si="17"/>
        <v>8.0662135730000015E-2</v>
      </c>
      <c r="U34" s="186">
        <f t="shared" si="17"/>
        <v>8.8037134252499996E-2</v>
      </c>
      <c r="V34" s="186">
        <f t="shared" si="17"/>
        <v>0.11318000607749999</v>
      </c>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row>
    <row r="35" spans="1:57" x14ac:dyDescent="0.25">
      <c r="A35" s="202"/>
      <c r="B35" s="36" t="s">
        <v>43</v>
      </c>
      <c r="C35" s="38" t="s">
        <v>120</v>
      </c>
      <c r="D35" s="188">
        <f>IFERROR(VLOOKUP($B35,'7'!$A$5:$K$31,2,FALSE)/10^3,"")</f>
        <v>9.9748459999999997E-2</v>
      </c>
      <c r="E35" s="188">
        <f>IFERROR(VLOOKUP($B35,'7'!$A$5:$K$31,3,FALSE)/10^3,"")</f>
        <v>0.38886759999999998</v>
      </c>
      <c r="F35" s="188">
        <f>IFERROR(VLOOKUP($B35,'7'!$A$5:$K$31,4,FALSE)/10^3,"")</f>
        <v>2.9540670000000002</v>
      </c>
      <c r="G35" s="188">
        <f>IFERROR(VLOOKUP($B35,'7'!$A$5:$K$31,5,FALSE)/10^3,"")</f>
        <v>51.894875999999996</v>
      </c>
      <c r="H35" s="188">
        <f>IFERROR(VLOOKUP($B35,'7'!$A$5:$K$31,6,FALSE)/10^3,"")</f>
        <v>0.48714443000000002</v>
      </c>
      <c r="I35" s="188">
        <f>IFERROR(VLOOKUP($B35,'7'!$A$5:$K$31,7,FALSE)/10^3,"")</f>
        <v>0.51361946199999997</v>
      </c>
      <c r="J35" s="188">
        <f>IFERROR(VLOOKUP($B35,'7'!$A$5:$K$31,8,FALSE)/10^3,"")</f>
        <v>7.1975539999999991E-2</v>
      </c>
      <c r="K35" s="188">
        <f>IFERROR(VLOOKUP($B35,'7'!$A$5:$K$31,9,FALSE)/10^3,"")</f>
        <v>4.9587149999999998E-3</v>
      </c>
      <c r="L35" s="188">
        <f>IFERROR(VLOOKUP($B35,'7'!$A$5:$K$31,10,FALSE)/10^3,"")</f>
        <v>1.5398117600000001</v>
      </c>
      <c r="M35" s="188">
        <f>IFERROR(VLOOKUP($B35,'7'!$A$5:$K$31,11,FALSE)/10^3,"")</f>
        <v>2.5802799699999994</v>
      </c>
      <c r="N35" s="186">
        <f t="shared" si="18"/>
        <v>1.7202824499999998E-4</v>
      </c>
      <c r="O35" s="186">
        <f t="shared" si="17"/>
        <v>1.03016745E-3</v>
      </c>
      <c r="P35" s="186">
        <f t="shared" si="17"/>
        <v>1.5189269249999998E-2</v>
      </c>
      <c r="Q35" s="186">
        <f t="shared" si="17"/>
        <v>3.9042943107499992E-2</v>
      </c>
      <c r="R35" s="186">
        <f t="shared" si="17"/>
        <v>4.9376318799999994E-4</v>
      </c>
      <c r="S35" s="186">
        <f t="shared" si="17"/>
        <v>4.0320848149999998E-4</v>
      </c>
      <c r="T35" s="186">
        <f t="shared" si="17"/>
        <v>5.5221333749999993E-5</v>
      </c>
      <c r="U35" s="186">
        <f t="shared" si="17"/>
        <v>3.8867197624999999E-4</v>
      </c>
      <c r="V35" s="186">
        <f t="shared" si="17"/>
        <v>1.7999288124999999E-3</v>
      </c>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row>
    <row r="36" spans="1:57" x14ac:dyDescent="0.25">
      <c r="A36" s="202"/>
      <c r="B36" s="36" t="s">
        <v>44</v>
      </c>
      <c r="C36" s="38" t="s">
        <v>117</v>
      </c>
      <c r="D36" s="188">
        <f>IFERROR(VLOOKUP($B36,'7'!$A$5:$K$31,2,FALSE)/10^3,"")</f>
        <v>7.0874560000000004</v>
      </c>
      <c r="E36" s="188">
        <f>IFERROR(VLOOKUP($B36,'7'!$A$5:$K$31,3,FALSE)/10^3,"")</f>
        <v>6.9705399999999997</v>
      </c>
      <c r="F36" s="188">
        <f>IFERROR(VLOOKUP($B36,'7'!$A$5:$K$31,4,FALSE)/10^3,"")</f>
        <v>4.003317</v>
      </c>
      <c r="G36" s="188">
        <f>IFERROR(VLOOKUP($B36,'7'!$A$5:$K$31,5,FALSE)/10^3,"")</f>
        <v>7.9749939999999997</v>
      </c>
      <c r="H36" s="188">
        <f>IFERROR(VLOOKUP($B36,'7'!$A$5:$K$31,6,FALSE)/10^3,"")</f>
        <v>8.0563320000000012</v>
      </c>
      <c r="I36" s="188">
        <f>IFERROR(VLOOKUP($B36,'7'!$A$5:$K$31,7,FALSE)/10^3,"")</f>
        <v>8.916404</v>
      </c>
      <c r="J36" s="188">
        <f>IFERROR(VLOOKUP($B36,'7'!$A$5:$K$31,8,FALSE)/10^3,"")</f>
        <v>9.8601770000000002</v>
      </c>
      <c r="K36" s="188">
        <f>IFERROR(VLOOKUP($B36,'7'!$A$5:$K$31,9,FALSE)/10^3,"")</f>
        <v>7.8491869999999997</v>
      </c>
      <c r="L36" s="188">
        <f>IFERROR(VLOOKUP($B36,'7'!$A$5:$K$31,10,FALSE)/10^3,"")</f>
        <v>2.0816539999999999</v>
      </c>
      <c r="M36" s="188">
        <f>IFERROR(VLOOKUP($B36,'7'!$A$5:$K$31,11,FALSE)/10^3,"")</f>
        <v>6.2955860000000001</v>
      </c>
      <c r="N36" s="186">
        <f t="shared" si="18"/>
        <v>7.0582270000000003E-3</v>
      </c>
      <c r="O36" s="186">
        <f t="shared" si="17"/>
        <v>6.2287342499999995E-3</v>
      </c>
      <c r="P36" s="186">
        <f t="shared" si="17"/>
        <v>4.9962362500000001E-3</v>
      </c>
      <c r="Q36" s="186">
        <f t="shared" si="17"/>
        <v>7.9953285000000009E-3</v>
      </c>
      <c r="R36" s="186">
        <f t="shared" si="17"/>
        <v>8.271350000000002E-3</v>
      </c>
      <c r="S36" s="186">
        <f t="shared" si="17"/>
        <v>9.1523472499999998E-3</v>
      </c>
      <c r="T36" s="186">
        <f t="shared" si="17"/>
        <v>9.3574295000000002E-3</v>
      </c>
      <c r="U36" s="186">
        <f t="shared" si="17"/>
        <v>6.4073037499999992E-3</v>
      </c>
      <c r="V36" s="186">
        <f t="shared" si="17"/>
        <v>3.1351369999999996E-3</v>
      </c>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row>
    <row r="37" spans="1:57" x14ac:dyDescent="0.25">
      <c r="A37" s="202"/>
      <c r="B37" s="36" t="s">
        <v>74</v>
      </c>
      <c r="C37" s="38" t="s">
        <v>117</v>
      </c>
      <c r="D37" s="158" t="str">
        <f>IFERROR(VLOOKUP($B37,'7'!$A$5:$K$31,2,FALSE)/10^3,"")</f>
        <v/>
      </c>
      <c r="E37" s="158" t="str">
        <f>IFERROR(VLOOKUP($B37,'7'!$A$5:$K$31,3,FALSE)/10^3,"")</f>
        <v/>
      </c>
      <c r="F37" s="158" t="str">
        <f>IFERROR(VLOOKUP($B37,'7'!$A$5:$K$31,4,FALSE)/10^3,"")</f>
        <v/>
      </c>
      <c r="G37" s="158" t="str">
        <f>IFERROR(VLOOKUP($B37,'7'!$A$5:$K$31,5,FALSE)/10^3,"")</f>
        <v/>
      </c>
      <c r="H37" s="158" t="str">
        <f>IFERROR(VLOOKUP($B37,'7'!$A$5:$K$31,6,FALSE)/10^3,"")</f>
        <v/>
      </c>
      <c r="I37" s="158" t="str">
        <f>IFERROR(VLOOKUP($B37,'7'!$A$5:$K$31,7,FALSE)/10^3,"")</f>
        <v/>
      </c>
      <c r="J37" s="158" t="str">
        <f>IFERROR(VLOOKUP($B37,'7'!$A$5:$K$31,8,FALSE)/10^3,"")</f>
        <v/>
      </c>
      <c r="K37" s="158" t="str">
        <f>IFERROR(VLOOKUP($B37,'7'!$A$5:$K$31,9,FALSE)/10^3,"")</f>
        <v/>
      </c>
      <c r="L37" s="158" t="str">
        <f>IFERROR(VLOOKUP($B37,'7'!$A$5:$K$31,10,FALSE)/10^3,"")</f>
        <v/>
      </c>
      <c r="M37" s="158" t="str">
        <f>IFERROR(VLOOKUP($B37,'7'!$A$5:$K$31,11,FALSE)/10^3,"")</f>
        <v/>
      </c>
      <c r="N37" s="156" t="str">
        <f t="shared" si="18"/>
        <v/>
      </c>
      <c r="O37" s="156" t="str">
        <f t="shared" si="17"/>
        <v/>
      </c>
      <c r="P37" s="156" t="str">
        <f t="shared" si="17"/>
        <v/>
      </c>
      <c r="Q37" s="156" t="str">
        <f t="shared" si="17"/>
        <v/>
      </c>
      <c r="R37" s="156" t="str">
        <f t="shared" si="17"/>
        <v/>
      </c>
      <c r="S37" s="156" t="str">
        <f t="shared" si="17"/>
        <v/>
      </c>
      <c r="T37" s="156" t="str">
        <f t="shared" si="17"/>
        <v/>
      </c>
      <c r="U37" s="156" t="str">
        <f t="shared" si="17"/>
        <v/>
      </c>
      <c r="V37" s="156" t="str">
        <f t="shared" si="17"/>
        <v/>
      </c>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row>
    <row r="38" spans="1:57" s="22" customFormat="1" x14ac:dyDescent="0.25">
      <c r="A38" s="202"/>
      <c r="B38" s="35" t="s">
        <v>105</v>
      </c>
      <c r="C38" s="21" t="s">
        <v>121</v>
      </c>
      <c r="D38" s="154">
        <f t="shared" ref="D38:M38" si="19">SUM(D39:D56)</f>
        <v>32457.788000000004</v>
      </c>
      <c r="E38" s="154">
        <f t="shared" si="19"/>
        <v>32547.190250000003</v>
      </c>
      <c r="F38" s="154">
        <f t="shared" si="19"/>
        <v>33050.347649999996</v>
      </c>
      <c r="G38" s="154">
        <f t="shared" si="19"/>
        <v>33301.539249999994</v>
      </c>
      <c r="H38" s="154">
        <f t="shared" si="19"/>
        <v>32921.439600000005</v>
      </c>
      <c r="I38" s="154">
        <f t="shared" si="19"/>
        <v>36133.0939</v>
      </c>
      <c r="J38" s="154">
        <f t="shared" si="19"/>
        <v>38669.794799999996</v>
      </c>
      <c r="K38" s="154">
        <f t="shared" si="19"/>
        <v>41695.308300000004</v>
      </c>
      <c r="L38" s="154">
        <f t="shared" si="19"/>
        <v>38976.823799999998</v>
      </c>
      <c r="M38" s="154">
        <f t="shared" si="19"/>
        <v>40142.211547999999</v>
      </c>
      <c r="N38" s="155">
        <f t="shared" ref="N38:U38" si="20">SUM(N39:N56)</f>
        <v>32.480138562500002</v>
      </c>
      <c r="O38" s="155">
        <f t="shared" si="20"/>
        <v>32.672979599999998</v>
      </c>
      <c r="P38" s="155">
        <f t="shared" si="20"/>
        <v>33.113145549999999</v>
      </c>
      <c r="Q38" s="155">
        <f t="shared" si="20"/>
        <v>33.206514337500003</v>
      </c>
      <c r="R38" s="155">
        <f t="shared" si="20"/>
        <v>33.724353174999997</v>
      </c>
      <c r="S38" s="155">
        <f t="shared" si="20"/>
        <v>36.767269124999999</v>
      </c>
      <c r="T38" s="155">
        <f t="shared" si="20"/>
        <v>39.42617317500001</v>
      </c>
      <c r="U38" s="155">
        <f t="shared" si="20"/>
        <v>41.015687175000011</v>
      </c>
      <c r="V38" s="155">
        <f t="shared" ref="V38" si="21">SUM(V39:V56)</f>
        <v>39.268170736999998</v>
      </c>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row>
    <row r="39" spans="1:57" s="22" customFormat="1" x14ac:dyDescent="0.25">
      <c r="A39" s="202"/>
      <c r="B39" s="36" t="s">
        <v>75</v>
      </c>
      <c r="C39" s="24" t="s">
        <v>122</v>
      </c>
      <c r="D39" s="189">
        <f>IFERROR(VLOOKUP($B39,'7'!$A$5:$K$31,2,FALSE),"")/10^3</f>
        <v>20900</v>
      </c>
      <c r="E39" s="189">
        <f>IFERROR(VLOOKUP($B39,'7'!$A$5:$K$31,3,FALSE)/10^3,"")</f>
        <v>20700</v>
      </c>
      <c r="F39" s="189">
        <f>IFERROR(VLOOKUP($B39,'7'!$A$5:$K$31,4,FALSE)/10^3,"")</f>
        <v>20200</v>
      </c>
      <c r="G39" s="189">
        <f>IFERROR(VLOOKUP($B39,'7'!$A$5:$K$31,5,FALSE)/10^3,"")</f>
        <v>20200</v>
      </c>
      <c r="H39" s="189">
        <f>IFERROR(VLOOKUP($B39,'7'!$A$5:$K$31,6,FALSE)/10^3,"")</f>
        <v>20300</v>
      </c>
      <c r="I39" s="189">
        <f>IFERROR(VLOOKUP($B39,'7'!$A$5:$K$31,7,FALSE)/10^3,"")</f>
        <v>21700</v>
      </c>
      <c r="J39" s="189">
        <f>IFERROR(VLOOKUP($B39,'7'!$A$5:$K$31,8,FALSE)/10^3,"")</f>
        <v>22600</v>
      </c>
      <c r="K39" s="189">
        <f>IFERROR(VLOOKUP($B39,'7'!$A$5:$K$31,9,FALSE)/10^3,"")</f>
        <v>23400</v>
      </c>
      <c r="L39" s="189">
        <f>IFERROR(VLOOKUP($B39,'7'!$A$5:$K$31,10,FALSE)/10^3,"")</f>
        <v>23200</v>
      </c>
      <c r="M39" s="189">
        <f>IFERROR(VLOOKUP($B39,'7'!$A$5:$K$31,11,FALSE)/10^3,"")</f>
        <v>23500</v>
      </c>
      <c r="N39" s="190">
        <f>IFERROR(((3/4)*D39+(1/4)*E39)/1000,"")</f>
        <v>20.85</v>
      </c>
      <c r="O39" s="190">
        <f t="shared" ref="O39:V40" si="22">IFERROR(((3/4)*E39+(1/4)*F39)/1000,"")</f>
        <v>20.574999999999999</v>
      </c>
      <c r="P39" s="190">
        <f t="shared" si="22"/>
        <v>20.2</v>
      </c>
      <c r="Q39" s="190">
        <f t="shared" si="22"/>
        <v>20.225000000000001</v>
      </c>
      <c r="R39" s="190">
        <f t="shared" si="22"/>
        <v>20.65</v>
      </c>
      <c r="S39" s="190">
        <f t="shared" si="22"/>
        <v>21.925000000000001</v>
      </c>
      <c r="T39" s="190">
        <f t="shared" si="22"/>
        <v>22.8</v>
      </c>
      <c r="U39" s="190">
        <f t="shared" si="22"/>
        <v>23.35</v>
      </c>
      <c r="V39" s="190">
        <f t="shared" si="22"/>
        <v>23.274999999999999</v>
      </c>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row>
    <row r="40" spans="1:57" s="22" customFormat="1" x14ac:dyDescent="0.25">
      <c r="A40" s="202"/>
      <c r="B40" s="36" t="s">
        <v>76</v>
      </c>
      <c r="C40" s="24" t="s">
        <v>123</v>
      </c>
      <c r="D40" s="189">
        <f>IFERROR(VLOOKUP($B40,'7'!$A$5:$K$31,2,FALSE),"")/10^3</f>
        <v>410.38380000000001</v>
      </c>
      <c r="E40" s="189">
        <f>IFERROR(VLOOKUP($B40,'7'!$A$5:$K$31,3,FALSE)/10^3,"")</f>
        <v>416.07850000000002</v>
      </c>
      <c r="F40" s="189">
        <f>IFERROR(VLOOKUP($B40,'7'!$A$5:$K$31,4,FALSE)/10^3,"")</f>
        <v>245.4539</v>
      </c>
      <c r="G40" s="189">
        <f>IFERROR(VLOOKUP($B40,'7'!$A$5:$K$31,5,FALSE)/10^3,"")</f>
        <v>496.64550000000003</v>
      </c>
      <c r="H40" s="189">
        <f>IFERROR(VLOOKUP($B40,'7'!$A$5:$K$31,6,FALSE)/10^3,"")</f>
        <v>638.25109999999995</v>
      </c>
      <c r="I40" s="189">
        <f>IFERROR(VLOOKUP($B40,'7'!$A$5:$K$31,7,FALSE)/10^3,"")</f>
        <v>589.82280000000003</v>
      </c>
      <c r="J40" s="189">
        <f>IFERROR(VLOOKUP($B40,'7'!$A$5:$K$31,8,FALSE)/10^3,"")</f>
        <v>1335.864</v>
      </c>
      <c r="K40" s="189">
        <f>IFERROR(VLOOKUP($B40,'7'!$A$5:$K$31,9,FALSE)/10^3,"")</f>
        <v>2217.9459999999999</v>
      </c>
      <c r="L40" s="189">
        <f>IFERROR(VLOOKUP($B40,'7'!$A$5:$K$31,10,FALSE)/10^3,"")</f>
        <v>0</v>
      </c>
      <c r="M40" s="189">
        <f>IFERROR(VLOOKUP($B40,'7'!$A$5:$K$31,11,FALSE)/10^3,"")</f>
        <v>0.65984799999999999</v>
      </c>
      <c r="N40" s="190">
        <f>IFERROR(((3/4)*D40+(1/4)*E40)/1000,"")</f>
        <v>0.41180747500000003</v>
      </c>
      <c r="O40" s="190">
        <f t="shared" si="22"/>
        <v>0.37342235000000001</v>
      </c>
      <c r="P40" s="190">
        <f t="shared" si="22"/>
        <v>0.30825180000000002</v>
      </c>
      <c r="Q40" s="190">
        <f t="shared" si="22"/>
        <v>0.5320469000000001</v>
      </c>
      <c r="R40" s="190">
        <f t="shared" si="22"/>
        <v>0.62614402499999999</v>
      </c>
      <c r="S40" s="190">
        <f t="shared" si="22"/>
        <v>0.77633310000000011</v>
      </c>
      <c r="T40" s="190">
        <f t="shared" si="22"/>
        <v>1.5563845000000001</v>
      </c>
      <c r="U40" s="190">
        <f t="shared" si="22"/>
        <v>1.6634594999999999</v>
      </c>
      <c r="V40" s="190">
        <f t="shared" si="22"/>
        <v>1.64962E-4</v>
      </c>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row>
    <row r="41" spans="1:57" s="22" customFormat="1" x14ac:dyDescent="0.25">
      <c r="A41" s="202"/>
      <c r="B41" s="36" t="s">
        <v>77</v>
      </c>
      <c r="C41" s="24" t="s">
        <v>124</v>
      </c>
      <c r="D41" s="196" t="s">
        <v>269</v>
      </c>
      <c r="E41" s="196"/>
      <c r="F41" s="196"/>
      <c r="G41" s="196"/>
      <c r="H41" s="196"/>
      <c r="I41" s="196"/>
      <c r="J41" s="196"/>
      <c r="K41" s="196"/>
      <c r="L41" s="196"/>
      <c r="M41" s="196"/>
      <c r="N41" s="196"/>
      <c r="O41" s="196"/>
      <c r="P41" s="196"/>
      <c r="Q41" s="196"/>
      <c r="R41" s="196"/>
      <c r="S41" s="196"/>
      <c r="T41" s="196"/>
      <c r="U41" s="196"/>
      <c r="V41" s="196"/>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row>
    <row r="42" spans="1:57" s="22" customFormat="1" x14ac:dyDescent="0.25">
      <c r="A42" s="202"/>
      <c r="B42" s="36" t="s">
        <v>78</v>
      </c>
      <c r="C42" s="24" t="s">
        <v>125</v>
      </c>
      <c r="D42" s="158">
        <f>IFERROR(VLOOKUP($B42,'7'!$A$5:$K$31,2,FALSE),"")/10^3</f>
        <v>340.38</v>
      </c>
      <c r="E42" s="189">
        <f>IFERROR(VLOOKUP($B42,'7'!$A$5:$K$31,3,FALSE)/10^3,"")</f>
        <v>326.43</v>
      </c>
      <c r="F42" s="189">
        <f>IFERROR(VLOOKUP($B42,'7'!$A$5:$K$31,4,FALSE)/10^3,"")</f>
        <v>239.94</v>
      </c>
      <c r="G42" s="189">
        <f>IFERROR(VLOOKUP($B42,'7'!$A$5:$K$31,5,FALSE)/10^3,"")</f>
        <v>239.94</v>
      </c>
      <c r="H42" s="189">
        <f>IFERROR(VLOOKUP($B42,'7'!$A$5:$K$31,6,FALSE)/10^3,"")</f>
        <v>234.36</v>
      </c>
      <c r="I42" s="189">
        <f>IFERROR(VLOOKUP($B42,'7'!$A$5:$K$31,7,FALSE)/10^3,"")</f>
        <v>343.17</v>
      </c>
      <c r="J42" s="189">
        <f>IFERROR(VLOOKUP($B42,'7'!$A$5:$K$31,8,FALSE)/10^3,"")</f>
        <v>343.17</v>
      </c>
      <c r="K42" s="189">
        <f>IFERROR(VLOOKUP($B42,'7'!$A$5:$K$31,9,FALSE)/10^3,"")</f>
        <v>329.22</v>
      </c>
      <c r="L42" s="189">
        <f>IFERROR(VLOOKUP($B42,'7'!$A$5:$K$31,10,FALSE)/10^3,"")</f>
        <v>276.20999999999998</v>
      </c>
      <c r="M42" s="189">
        <f>IFERROR(VLOOKUP($B42,'7'!$A$5:$K$31,11,FALSE)/10^3,"")</f>
        <v>237.15</v>
      </c>
      <c r="N42" s="190">
        <f>IFERROR(((3/4)*D42+(1/4)*E42)/1000,"")</f>
        <v>0.33689249999999998</v>
      </c>
      <c r="O42" s="190">
        <f t="shared" ref="O42:V52" si="23">IFERROR(((3/4)*E42+(1/4)*F42)/1000,"")</f>
        <v>0.30480750000000001</v>
      </c>
      <c r="P42" s="190">
        <f t="shared" si="23"/>
        <v>0.23993999999999999</v>
      </c>
      <c r="Q42" s="190">
        <f t="shared" si="23"/>
        <v>0.23854499999999998</v>
      </c>
      <c r="R42" s="190">
        <f t="shared" si="23"/>
        <v>0.26156249999999998</v>
      </c>
      <c r="S42" s="190">
        <f t="shared" si="23"/>
        <v>0.34317000000000003</v>
      </c>
      <c r="T42" s="190">
        <f t="shared" si="23"/>
        <v>0.3396825</v>
      </c>
      <c r="U42" s="190">
        <f t="shared" si="23"/>
        <v>0.31596750000000001</v>
      </c>
      <c r="V42" s="190">
        <f t="shared" si="23"/>
        <v>0.26644499999999999</v>
      </c>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row>
    <row r="43" spans="1:57" s="22" customFormat="1" x14ac:dyDescent="0.25">
      <c r="A43" s="202"/>
      <c r="B43" s="36" t="s">
        <v>79</v>
      </c>
      <c r="C43" s="24" t="s">
        <v>126</v>
      </c>
      <c r="D43" s="158">
        <f>IFERROR(VLOOKUP($B43,'7'!$A$5:$K$31,2,FALSE),"")/10^3</f>
        <v>58.003</v>
      </c>
      <c r="E43" s="189">
        <f>IFERROR(VLOOKUP($B43,'7'!$A$5:$K$31,3,FALSE)/10^3,"")</f>
        <v>71.103999999999999</v>
      </c>
      <c r="F43" s="189">
        <f>IFERROR(VLOOKUP($B43,'7'!$A$5:$K$31,4,FALSE)/10^3,"")</f>
        <v>107.151</v>
      </c>
      <c r="G43" s="189">
        <f>IFERROR(VLOOKUP($B43,'7'!$A$5:$K$31,5,FALSE)/10^3,"")</f>
        <v>107.151</v>
      </c>
      <c r="H43" s="189">
        <f>IFERROR(VLOOKUP($B43,'7'!$A$5:$K$31,6,FALSE)/10^3,"")</f>
        <v>73.204999999999998</v>
      </c>
      <c r="I43" s="189">
        <f>IFERROR(VLOOKUP($B43,'7'!$A$5:$K$31,7,FALSE)/10^3,"")</f>
        <v>24.222000000000001</v>
      </c>
      <c r="J43" s="189">
        <f>IFERROR(VLOOKUP($B43,'7'!$A$5:$K$31,8,FALSE)/10^3,"")</f>
        <v>49.17</v>
      </c>
      <c r="K43" s="189">
        <f>IFERROR(VLOOKUP($B43,'7'!$A$5:$K$31,9,FALSE)/10^3,"")</f>
        <v>73.028999999999996</v>
      </c>
      <c r="L43" s="189">
        <f>IFERROR(VLOOKUP($B43,'7'!$A$5:$K$31,10,FALSE)/10^3,"")</f>
        <v>78.078000000000003</v>
      </c>
      <c r="M43" s="189">
        <f>IFERROR(VLOOKUP($B43,'7'!$A$5:$K$31,11,FALSE)/10^3,"")</f>
        <v>86.658000000000001</v>
      </c>
      <c r="N43" s="190">
        <f t="shared" ref="N43:N52" si="24">IFERROR(((3/4)*D43+(1/4)*E43)/1000,"")</f>
        <v>6.1278249999999999E-2</v>
      </c>
      <c r="O43" s="190">
        <f t="shared" si="23"/>
        <v>8.0115749999999999E-2</v>
      </c>
      <c r="P43" s="190">
        <f t="shared" si="23"/>
        <v>0.107151</v>
      </c>
      <c r="Q43" s="190">
        <f t="shared" si="23"/>
        <v>9.8664499999999988E-2</v>
      </c>
      <c r="R43" s="190">
        <f t="shared" si="23"/>
        <v>6.0959250000000006E-2</v>
      </c>
      <c r="S43" s="190">
        <f t="shared" si="23"/>
        <v>3.0459E-2</v>
      </c>
      <c r="T43" s="190">
        <f t="shared" si="23"/>
        <v>5.5134749999999996E-2</v>
      </c>
      <c r="U43" s="190">
        <f t="shared" si="23"/>
        <v>7.4291249999999989E-2</v>
      </c>
      <c r="V43" s="190">
        <f t="shared" si="23"/>
        <v>8.0223000000000003E-2</v>
      </c>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row>
    <row r="44" spans="1:57" s="22" customFormat="1" x14ac:dyDescent="0.25">
      <c r="A44" s="202"/>
      <c r="B44" s="36" t="s">
        <v>80</v>
      </c>
      <c r="C44" s="24" t="s">
        <v>127</v>
      </c>
      <c r="D44" s="158">
        <f>IFERROR(VLOOKUP($B44,'7'!$A$5:$K$31,2,FALSE),"")/10^3</f>
        <v>79.720600000000005</v>
      </c>
      <c r="E44" s="189">
        <f>IFERROR(VLOOKUP($B44,'7'!$A$5:$K$31,3,FALSE)/10^3,"")</f>
        <v>83.501649999999998</v>
      </c>
      <c r="F44" s="189">
        <f>IFERROR(VLOOKUP($B44,'7'!$A$5:$K$31,4,FALSE)/10^3,"")</f>
        <v>81.922749999999994</v>
      </c>
      <c r="G44" s="189">
        <f>IFERROR(VLOOKUP($B44,'7'!$A$5:$K$31,5,FALSE)/10^3,"")</f>
        <v>81.922749999999994</v>
      </c>
      <c r="H44" s="189">
        <f>IFERROR(VLOOKUP($B44,'7'!$A$5:$K$31,6,FALSE)/10^3,"")</f>
        <v>73.7928</v>
      </c>
      <c r="I44" s="189">
        <f>IFERROR(VLOOKUP($B44,'7'!$A$5:$K$31,7,FALSE)/10^3,"")</f>
        <v>84.928200000000004</v>
      </c>
      <c r="J44" s="189">
        <f>IFERROR(VLOOKUP($B44,'7'!$A$5:$K$31,8,FALSE)/10^3,"")</f>
        <v>88.667699999999996</v>
      </c>
      <c r="K44" s="189">
        <f>IFERROR(VLOOKUP($B44,'7'!$A$5:$K$31,9,FALSE)/10^3,"")</f>
        <v>72.213899999999995</v>
      </c>
      <c r="L44" s="189">
        <f>IFERROR(VLOOKUP($B44,'7'!$A$5:$K$31,10,FALSE)/10^3,"")</f>
        <v>69.443899999999999</v>
      </c>
      <c r="M44" s="189">
        <f>IFERROR(VLOOKUP($B44,'7'!$A$5:$K$31,11,FALSE)/10^3,"")</f>
        <v>73.100300000000004</v>
      </c>
      <c r="N44" s="190">
        <f t="shared" si="24"/>
        <v>8.0665862500000005E-2</v>
      </c>
      <c r="O44" s="190">
        <f t="shared" si="23"/>
        <v>8.3106924999999998E-2</v>
      </c>
      <c r="P44" s="190">
        <f t="shared" si="23"/>
        <v>8.1922749999999989E-2</v>
      </c>
      <c r="Q44" s="190">
        <f t="shared" si="23"/>
        <v>7.9890262499999989E-2</v>
      </c>
      <c r="R44" s="190">
        <f t="shared" si="23"/>
        <v>7.6576649999999996E-2</v>
      </c>
      <c r="S44" s="190">
        <f t="shared" si="23"/>
        <v>8.5863075000000011E-2</v>
      </c>
      <c r="T44" s="190">
        <f t="shared" si="23"/>
        <v>8.4554249999999997E-2</v>
      </c>
      <c r="U44" s="190">
        <f t="shared" si="23"/>
        <v>7.1521399999999999E-2</v>
      </c>
      <c r="V44" s="190">
        <f t="shared" si="23"/>
        <v>7.0358000000000004E-2</v>
      </c>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row>
    <row r="45" spans="1:57" s="22" customFormat="1" x14ac:dyDescent="0.25">
      <c r="A45" s="202"/>
      <c r="B45" s="36" t="s">
        <v>81</v>
      </c>
      <c r="C45" s="24" t="s">
        <v>128</v>
      </c>
      <c r="D45" s="158">
        <f>IFERROR(VLOOKUP($B45,'7'!$A$5:$K$31,2,FALSE),"")/10^3</f>
        <v>315.63909999999998</v>
      </c>
      <c r="E45" s="189">
        <f>IFERROR(VLOOKUP($B45,'7'!$A$5:$K$31,3,FALSE)/10^3,"")</f>
        <v>317.15709999999996</v>
      </c>
      <c r="F45" s="189">
        <f>IFERROR(VLOOKUP($B45,'7'!$A$5:$K$31,4,FALSE)/10^3,"")</f>
        <v>276.7604</v>
      </c>
      <c r="G45" s="189">
        <f>IFERROR(VLOOKUP($B45,'7'!$A$5:$K$31,5,FALSE)/10^3,"")</f>
        <v>276.7604</v>
      </c>
      <c r="H45" s="189">
        <f>IFERROR(VLOOKUP($B45,'7'!$A$5:$K$31,6,FALSE)/10^3,"")</f>
        <v>274.4889</v>
      </c>
      <c r="I45" s="189">
        <f>IFERROR(VLOOKUP($B45,'7'!$A$5:$K$31,7,FALSE)/10^3,"")</f>
        <v>284.05090000000001</v>
      </c>
      <c r="J45" s="189">
        <f>IFERROR(VLOOKUP($B45,'7'!$A$5:$K$31,8,FALSE)/10^3,"")</f>
        <v>317.22890000000001</v>
      </c>
      <c r="K45" s="189">
        <f>IFERROR(VLOOKUP($B45,'7'!$A$5:$K$31,9,FALSE)/10^3,"")</f>
        <v>332.69319999999999</v>
      </c>
      <c r="L45" s="189">
        <f>IFERROR(VLOOKUP($B45,'7'!$A$5:$K$31,10,FALSE)/10^3,"")</f>
        <v>336.41500000000002</v>
      </c>
      <c r="M45" s="189">
        <f>IFERROR(VLOOKUP($B45,'7'!$A$5:$K$31,11,FALSE)/10^3,"")</f>
        <v>330.11950000000002</v>
      </c>
      <c r="N45" s="190">
        <f t="shared" si="24"/>
        <v>0.31601859999999998</v>
      </c>
      <c r="O45" s="190">
        <f t="shared" si="23"/>
        <v>0.30705792499999995</v>
      </c>
      <c r="P45" s="190">
        <f t="shared" si="23"/>
        <v>0.27676040000000002</v>
      </c>
      <c r="Q45" s="190">
        <f t="shared" si="23"/>
        <v>0.27619252499999997</v>
      </c>
      <c r="R45" s="190">
        <f t="shared" si="23"/>
        <v>0.2768794</v>
      </c>
      <c r="S45" s="190">
        <f t="shared" si="23"/>
        <v>0.29234540000000003</v>
      </c>
      <c r="T45" s="190">
        <f t="shared" si="23"/>
        <v>0.32109497499999995</v>
      </c>
      <c r="U45" s="190">
        <f t="shared" si="23"/>
        <v>0.33362364999999999</v>
      </c>
      <c r="V45" s="190">
        <f t="shared" si="23"/>
        <v>0.33484112500000002</v>
      </c>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row>
    <row r="46" spans="1:57" s="22" customFormat="1" x14ac:dyDescent="0.25">
      <c r="A46" s="202"/>
      <c r="B46" s="36" t="s">
        <v>82</v>
      </c>
      <c r="C46" s="39" t="s">
        <v>129</v>
      </c>
      <c r="D46" s="159"/>
      <c r="E46" s="159"/>
      <c r="F46" s="159"/>
      <c r="G46" s="159"/>
      <c r="H46" s="159"/>
      <c r="I46" s="159"/>
      <c r="J46" s="159"/>
      <c r="K46" s="159"/>
      <c r="L46" s="159"/>
      <c r="M46" s="159"/>
      <c r="N46" s="156"/>
      <c r="O46" s="156"/>
      <c r="P46" s="156"/>
      <c r="Q46" s="156"/>
      <c r="R46" s="156"/>
      <c r="S46" s="156"/>
      <c r="T46" s="156"/>
      <c r="U46" s="156"/>
      <c r="V46" s="156"/>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row>
    <row r="47" spans="1:57" s="22" customFormat="1" x14ac:dyDescent="0.25">
      <c r="A47" s="202"/>
      <c r="B47" s="36" t="s">
        <v>45</v>
      </c>
      <c r="C47" s="24" t="s">
        <v>130</v>
      </c>
      <c r="D47" s="158">
        <f>IFERROR(VLOOKUP($B47,'7'!$A$5:$K$31,2,FALSE),"")/10^3</f>
        <v>452.20659999999998</v>
      </c>
      <c r="E47" s="189">
        <f>IFERROR(VLOOKUP($B47,'7'!$A$5:$K$31,3,FALSE)/10^3,"")</f>
        <v>445.93430000000001</v>
      </c>
      <c r="F47" s="189">
        <f>IFERROR(VLOOKUP($B47,'7'!$A$5:$K$31,4,FALSE)/10^3,"")</f>
        <v>405.54470000000003</v>
      </c>
      <c r="G47" s="189">
        <f>IFERROR(VLOOKUP($B47,'7'!$A$5:$K$31,5,FALSE)/10^3,"")</f>
        <v>405.54470000000003</v>
      </c>
      <c r="H47" s="189">
        <f>IFERROR(VLOOKUP($B47,'7'!$A$5:$K$31,6,FALSE)/10^3,"")</f>
        <v>273.39940000000001</v>
      </c>
      <c r="I47" s="189">
        <f>IFERROR(VLOOKUP($B47,'7'!$A$5:$K$31,7,FALSE)/10^3,"")</f>
        <v>381.447</v>
      </c>
      <c r="J47" s="189">
        <f>IFERROR(VLOOKUP($B47,'7'!$A$5:$K$31,8,FALSE)/10^3,"")</f>
        <v>431.8331</v>
      </c>
      <c r="K47" s="189">
        <f>IFERROR(VLOOKUP($B47,'7'!$A$5:$K$31,9,FALSE)/10^3,"")</f>
        <v>414.99930000000001</v>
      </c>
      <c r="L47" s="189">
        <f>IFERROR(VLOOKUP($B47,'7'!$A$5:$K$31,10,FALSE)/10^3,"")</f>
        <v>293.91120000000001</v>
      </c>
      <c r="M47" s="189">
        <f>IFERROR(VLOOKUP($B47,'7'!$A$5:$K$31,11,FALSE)/10^3,"")</f>
        <v>354.27080000000001</v>
      </c>
      <c r="N47" s="190">
        <f t="shared" si="24"/>
        <v>0.45063852499999996</v>
      </c>
      <c r="O47" s="190">
        <f t="shared" si="23"/>
        <v>0.43583690000000003</v>
      </c>
      <c r="P47" s="190">
        <f t="shared" si="23"/>
        <v>0.40554470000000004</v>
      </c>
      <c r="Q47" s="190">
        <f t="shared" si="23"/>
        <v>0.37250837500000006</v>
      </c>
      <c r="R47" s="190">
        <f t="shared" si="23"/>
        <v>0.30041129999999999</v>
      </c>
      <c r="S47" s="190">
        <f t="shared" si="23"/>
        <v>0.39404352500000001</v>
      </c>
      <c r="T47" s="190">
        <f t="shared" si="23"/>
        <v>0.42762465</v>
      </c>
      <c r="U47" s="190">
        <f t="shared" si="23"/>
        <v>0.38472727500000004</v>
      </c>
      <c r="V47" s="190">
        <f t="shared" si="23"/>
        <v>0.30900110000000003</v>
      </c>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row>
    <row r="48" spans="1:57" s="22" customFormat="1" x14ac:dyDescent="0.25">
      <c r="A48" s="202"/>
      <c r="B48" s="36" t="s">
        <v>46</v>
      </c>
      <c r="C48" s="24" t="s">
        <v>131</v>
      </c>
      <c r="D48" s="158">
        <f>IFERROR(VLOOKUP($B48,'7'!$A$5:$K$31,2,FALSE),"")/10^3</f>
        <v>4742.4849999999997</v>
      </c>
      <c r="E48" s="189">
        <f>IFERROR(VLOOKUP($B48,'7'!$A$5:$K$31,3,FALSE)/10^3,"")</f>
        <v>4875.1670000000004</v>
      </c>
      <c r="F48" s="189">
        <f>IFERROR(VLOOKUP($B48,'7'!$A$5:$K$31,4,FALSE)/10^3,"")</f>
        <v>5038.33</v>
      </c>
      <c r="G48" s="189">
        <f>IFERROR(VLOOKUP($B48,'7'!$A$5:$K$31,5,FALSE)/10^3,"")</f>
        <v>5038.33</v>
      </c>
      <c r="H48" s="189">
        <f>IFERROR(VLOOKUP($B48,'7'!$A$5:$K$31,6,FALSE)/10^3,"")</f>
        <v>4731.7269999999999</v>
      </c>
      <c r="I48" s="189">
        <f>IFERROR(VLOOKUP($B48,'7'!$A$5:$K$31,7,FALSE)/10^3,"")</f>
        <v>4509.3950000000004</v>
      </c>
      <c r="J48" s="189">
        <f>IFERROR(VLOOKUP($B48,'7'!$A$5:$K$31,8,FALSE)/10^3,"")</f>
        <v>4778.3450000000003</v>
      </c>
      <c r="K48" s="189">
        <f>IFERROR(VLOOKUP($B48,'7'!$A$5:$K$31,9,FALSE)/10^3,"")</f>
        <v>5952.76</v>
      </c>
      <c r="L48" s="189">
        <f>IFERROR(VLOOKUP($B48,'7'!$A$5:$K$31,10,FALSE)/10^3,"")</f>
        <v>5943.7950000000001</v>
      </c>
      <c r="M48" s="189">
        <f>IFERROR(VLOOKUP($B48,'7'!$A$5:$K$31,11,FALSE)/10^3,"")</f>
        <v>5999.3779999999997</v>
      </c>
      <c r="N48" s="190">
        <f t="shared" si="24"/>
        <v>4.7756555000000001</v>
      </c>
      <c r="O48" s="190">
        <f t="shared" si="23"/>
        <v>4.9159577499999996</v>
      </c>
      <c r="P48" s="190">
        <f t="shared" si="23"/>
        <v>5.0383300000000002</v>
      </c>
      <c r="Q48" s="190">
        <f t="shared" si="23"/>
        <v>4.9616792500000004</v>
      </c>
      <c r="R48" s="190">
        <f t="shared" si="23"/>
        <v>4.6761439999999999</v>
      </c>
      <c r="S48" s="190">
        <f t="shared" si="23"/>
        <v>4.5766325000000005</v>
      </c>
      <c r="T48" s="190">
        <f t="shared" si="23"/>
        <v>5.0719487499999998</v>
      </c>
      <c r="U48" s="190">
        <f t="shared" si="23"/>
        <v>5.9505187499999996</v>
      </c>
      <c r="V48" s="190">
        <f t="shared" si="23"/>
        <v>5.9576907500000003</v>
      </c>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row>
    <row r="49" spans="1:57" s="22" customFormat="1" x14ac:dyDescent="0.25">
      <c r="A49" s="202"/>
      <c r="B49" s="36" t="s">
        <v>47</v>
      </c>
      <c r="C49" s="24" t="s">
        <v>132</v>
      </c>
      <c r="D49" s="158">
        <f>IFERROR(VLOOKUP($B49,'7'!$A$5:$K$31,2,FALSE),"")/10^3</f>
        <v>455.47390000000001</v>
      </c>
      <c r="E49" s="189">
        <f>IFERROR(VLOOKUP($B49,'7'!$A$5:$K$31,3,FALSE)/10^3,"")</f>
        <v>237.22570000000002</v>
      </c>
      <c r="F49" s="189">
        <f>IFERROR(VLOOKUP($B49,'7'!$A$5:$K$31,4,FALSE)/10^3,"")</f>
        <v>228.5779</v>
      </c>
      <c r="G49" s="189">
        <f>IFERROR(VLOOKUP($B49,'7'!$A$5:$K$31,5,FALSE)/10^3,"")</f>
        <v>228.5779</v>
      </c>
      <c r="H49" s="189">
        <f>IFERROR(VLOOKUP($B49,'7'!$A$5:$K$31,6,FALSE)/10^3,"")</f>
        <v>238.7824</v>
      </c>
      <c r="I49" s="189">
        <f>IFERROR(VLOOKUP($B49,'7'!$A$5:$K$31,7,FALSE)/10^3,"")</f>
        <v>480.488</v>
      </c>
      <c r="J49" s="189">
        <f>IFERROR(VLOOKUP($B49,'7'!$A$5:$K$31,8,FALSE)/10^3,"")</f>
        <v>482.11709999999999</v>
      </c>
      <c r="K49" s="189">
        <f>IFERROR(VLOOKUP($B49,'7'!$A$5:$K$31,9,FALSE)/10^3,"")</f>
        <v>485.28990000000005</v>
      </c>
      <c r="L49" s="189">
        <f>IFERROR(VLOOKUP($B49,'7'!$A$5:$K$31,10,FALSE)/10^3,"")</f>
        <v>439.7167</v>
      </c>
      <c r="M49" s="189">
        <f>IFERROR(VLOOKUP($B49,'7'!$A$5:$K$31,11,FALSE)/10^3,"")</f>
        <v>462.62109999999996</v>
      </c>
      <c r="N49" s="190">
        <f t="shared" si="24"/>
        <v>0.40091185000000001</v>
      </c>
      <c r="O49" s="190">
        <f t="shared" si="23"/>
        <v>0.23506375000000002</v>
      </c>
      <c r="P49" s="190">
        <f t="shared" si="23"/>
        <v>0.2285779</v>
      </c>
      <c r="Q49" s="190">
        <f t="shared" si="23"/>
        <v>0.23112902500000002</v>
      </c>
      <c r="R49" s="190">
        <f t="shared" si="23"/>
        <v>0.2992088</v>
      </c>
      <c r="S49" s="190">
        <f t="shared" si="23"/>
        <v>0.48089527499999996</v>
      </c>
      <c r="T49" s="190">
        <f t="shared" si="23"/>
        <v>0.48291030000000001</v>
      </c>
      <c r="U49" s="190">
        <f t="shared" si="23"/>
        <v>0.47389660000000006</v>
      </c>
      <c r="V49" s="190">
        <f t="shared" si="23"/>
        <v>0.44544280000000003</v>
      </c>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row>
    <row r="50" spans="1:57" s="22" customFormat="1" x14ac:dyDescent="0.25">
      <c r="A50" s="202"/>
      <c r="B50" s="36" t="s">
        <v>48</v>
      </c>
      <c r="C50" s="24" t="s">
        <v>133</v>
      </c>
      <c r="D50" s="158">
        <f>IFERROR(VLOOKUP($B50,'7'!$A$5:$K$31,2,FALSE),"")/10^3</f>
        <v>3037.7869999999998</v>
      </c>
      <c r="E50" s="189">
        <f>IFERROR(VLOOKUP($B50,'7'!$A$5:$K$31,3,FALSE)/10^3,"")</f>
        <v>3383.864</v>
      </c>
      <c r="F50" s="189">
        <f>IFERROR(VLOOKUP($B50,'7'!$A$5:$K$31,4,FALSE)/10^3,"")</f>
        <v>4383.6419999999998</v>
      </c>
      <c r="G50" s="189">
        <f>IFERROR(VLOOKUP($B50,'7'!$A$5:$K$31,5,FALSE)/10^3,"")</f>
        <v>4383.6419999999998</v>
      </c>
      <c r="H50" s="189">
        <f>IFERROR(VLOOKUP($B50,'7'!$A$5:$K$31,6,FALSE)/10^3,"")</f>
        <v>4499.0010000000002</v>
      </c>
      <c r="I50" s="189">
        <f>IFERROR(VLOOKUP($B50,'7'!$A$5:$K$31,7,FALSE)/10^3,"")</f>
        <v>5921.7619999999997</v>
      </c>
      <c r="J50" s="189">
        <f>IFERROR(VLOOKUP($B50,'7'!$A$5:$K$31,8,FALSE)/10^3,"")</f>
        <v>6306.2920000000004</v>
      </c>
      <c r="K50" s="189">
        <f>IFERROR(VLOOKUP($B50,'7'!$A$5:$K$31,9,FALSE)/10^3,"")</f>
        <v>6498.5569999999998</v>
      </c>
      <c r="L50" s="189">
        <f>IFERROR(VLOOKUP($B50,'7'!$A$5:$K$31,10,FALSE)/10^3,"")</f>
        <v>6613.9160000000002</v>
      </c>
      <c r="M50" s="189">
        <f>IFERROR(VLOOKUP($B50,'7'!$A$5:$K$31,11,FALSE)/10^3,"")</f>
        <v>7344.5230000000001</v>
      </c>
      <c r="N50" s="190">
        <f t="shared" si="24"/>
        <v>3.1243062499999996</v>
      </c>
      <c r="O50" s="190">
        <f t="shared" si="23"/>
        <v>3.6338085000000002</v>
      </c>
      <c r="P50" s="190">
        <f t="shared" si="23"/>
        <v>4.383642</v>
      </c>
      <c r="Q50" s="190">
        <f t="shared" si="23"/>
        <v>4.4124817499999995</v>
      </c>
      <c r="R50" s="190">
        <f t="shared" si="23"/>
        <v>4.8546912500000001</v>
      </c>
      <c r="S50" s="190">
        <f t="shared" si="23"/>
        <v>6.0178945000000006</v>
      </c>
      <c r="T50" s="190">
        <f t="shared" si="23"/>
        <v>6.3543582500000007</v>
      </c>
      <c r="U50" s="190">
        <f t="shared" si="23"/>
        <v>6.5273967500000003</v>
      </c>
      <c r="V50" s="190">
        <f t="shared" si="23"/>
        <v>6.7965677500000004</v>
      </c>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row>
    <row r="51" spans="1:57" s="22" customFormat="1" x14ac:dyDescent="0.25">
      <c r="A51" s="202"/>
      <c r="B51" s="36" t="s">
        <v>49</v>
      </c>
      <c r="C51" s="24" t="s">
        <v>134</v>
      </c>
      <c r="D51" s="158">
        <f>IFERROR(VLOOKUP($B51,'7'!$A$5:$K$31,2,FALSE),"")/10^3</f>
        <v>186.42</v>
      </c>
      <c r="E51" s="189">
        <f>IFERROR(VLOOKUP($B51,'7'!$A$5:$K$31,3,FALSE)/10^3,"")</f>
        <v>157.74</v>
      </c>
      <c r="F51" s="189">
        <f>IFERROR(VLOOKUP($B51,'7'!$A$5:$K$31,4,FALSE)/10^3,"")</f>
        <v>186.42</v>
      </c>
      <c r="G51" s="189">
        <f>IFERROR(VLOOKUP($B51,'7'!$A$5:$K$31,5,FALSE)/10^3,"")</f>
        <v>186.42</v>
      </c>
      <c r="H51" s="189">
        <f>IFERROR(VLOOKUP($B51,'7'!$A$5:$K$31,6,FALSE)/10^3,"")</f>
        <v>143.4</v>
      </c>
      <c r="I51" s="189">
        <f>IFERROR(VLOOKUP($B51,'7'!$A$5:$K$31,7,FALSE)/10^3,"")</f>
        <v>186.42</v>
      </c>
      <c r="J51" s="189">
        <f>IFERROR(VLOOKUP($B51,'7'!$A$5:$K$31,8,FALSE)/10^3,"")</f>
        <v>181.64</v>
      </c>
      <c r="K51" s="189">
        <f>IFERROR(VLOOKUP($B51,'7'!$A$5:$K$31,9,FALSE)/10^3,"")</f>
        <v>181.64</v>
      </c>
      <c r="L51" s="189">
        <f>IFERROR(VLOOKUP($B51,'7'!$A$5:$K$31,10,FALSE)/10^3,"")</f>
        <v>157.74</v>
      </c>
      <c r="M51" s="189">
        <f>IFERROR(VLOOKUP($B51,'7'!$A$5:$K$31,11,FALSE)/10^3,"")</f>
        <v>176.86</v>
      </c>
      <c r="N51" s="190">
        <f t="shared" si="24"/>
        <v>0.17924999999999999</v>
      </c>
      <c r="O51" s="190">
        <f t="shared" si="23"/>
        <v>0.16491</v>
      </c>
      <c r="P51" s="190">
        <f t="shared" si="23"/>
        <v>0.18641999999999997</v>
      </c>
      <c r="Q51" s="190">
        <f t="shared" si="23"/>
        <v>0.17566499999999999</v>
      </c>
      <c r="R51" s="190">
        <f t="shared" si="23"/>
        <v>0.15415500000000001</v>
      </c>
      <c r="S51" s="190">
        <f t="shared" si="23"/>
        <v>0.185225</v>
      </c>
      <c r="T51" s="190">
        <f t="shared" si="23"/>
        <v>0.18164</v>
      </c>
      <c r="U51" s="190">
        <f t="shared" si="23"/>
        <v>0.17566499999999999</v>
      </c>
      <c r="V51" s="190">
        <f t="shared" si="23"/>
        <v>0.16252</v>
      </c>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row>
    <row r="52" spans="1:57" s="22" customFormat="1" x14ac:dyDescent="0.25">
      <c r="A52" s="202"/>
      <c r="B52" s="36" t="s">
        <v>50</v>
      </c>
      <c r="C52" s="24" t="s">
        <v>135</v>
      </c>
      <c r="D52" s="158">
        <f>IFERROR(VLOOKUP($B52,'7'!$A$5:$K$31,2,FALSE),"")/10^3</f>
        <v>1479.289</v>
      </c>
      <c r="E52" s="189">
        <f>IFERROR(VLOOKUP($B52,'7'!$A$5:$K$31,3,FALSE)/10^3,"")</f>
        <v>1532.9880000000001</v>
      </c>
      <c r="F52" s="189">
        <f>IFERROR(VLOOKUP($B52,'7'!$A$5:$K$31,4,FALSE)/10^3,"")</f>
        <v>1656.605</v>
      </c>
      <c r="G52" s="189">
        <f>IFERROR(VLOOKUP($B52,'7'!$A$5:$K$31,5,FALSE)/10^3,"")</f>
        <v>1656.605</v>
      </c>
      <c r="H52" s="189">
        <f>IFERROR(VLOOKUP($B52,'7'!$A$5:$K$31,6,FALSE)/10^3,"")</f>
        <v>1441.0319999999999</v>
      </c>
      <c r="I52" s="189">
        <f>IFERROR(VLOOKUP($B52,'7'!$A$5:$K$31,7,FALSE)/10^3,"")</f>
        <v>1627.3879999999999</v>
      </c>
      <c r="J52" s="189">
        <f>IFERROR(VLOOKUP($B52,'7'!$A$5:$K$31,8,FALSE)/10^3,"")</f>
        <v>1755.4670000000001</v>
      </c>
      <c r="K52" s="189">
        <f>IFERROR(VLOOKUP($B52,'7'!$A$5:$K$31,9,FALSE)/10^3,"")</f>
        <v>1736.96</v>
      </c>
      <c r="L52" s="189">
        <f>IFERROR(VLOOKUP($B52,'7'!$A$5:$K$31,10,FALSE)/10^3,"")</f>
        <v>1567.598</v>
      </c>
      <c r="M52" s="189">
        <f>IFERROR(VLOOKUP($B52,'7'!$A$5:$K$31,11,FALSE)/10^3,"")</f>
        <v>1576.8710000000001</v>
      </c>
      <c r="N52" s="190">
        <f t="shared" si="24"/>
        <v>1.4927137500000001</v>
      </c>
      <c r="O52" s="190">
        <f t="shared" si="23"/>
        <v>1.5638922499999999</v>
      </c>
      <c r="P52" s="190">
        <f t="shared" si="23"/>
        <v>1.6566050000000001</v>
      </c>
      <c r="Q52" s="190">
        <f t="shared" si="23"/>
        <v>1.6027117500000001</v>
      </c>
      <c r="R52" s="190">
        <f t="shared" si="23"/>
        <v>1.4876209999999999</v>
      </c>
      <c r="S52" s="190">
        <f t="shared" si="23"/>
        <v>1.65940775</v>
      </c>
      <c r="T52" s="190">
        <f t="shared" si="23"/>
        <v>1.75084025</v>
      </c>
      <c r="U52" s="190">
        <f t="shared" si="23"/>
        <v>1.6946194999999999</v>
      </c>
      <c r="V52" s="190">
        <f t="shared" si="23"/>
        <v>1.5699162499999999</v>
      </c>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row>
    <row r="53" spans="1:57" s="22" customFormat="1" x14ac:dyDescent="0.25">
      <c r="A53" s="202"/>
      <c r="B53" s="36" t="s">
        <v>83</v>
      </c>
      <c r="C53" s="39" t="s">
        <v>136</v>
      </c>
      <c r="D53" s="197" t="s">
        <v>268</v>
      </c>
      <c r="E53" s="197"/>
      <c r="F53" s="197"/>
      <c r="G53" s="197"/>
      <c r="H53" s="197"/>
      <c r="I53" s="197"/>
      <c r="J53" s="197"/>
      <c r="K53" s="197"/>
      <c r="L53" s="197"/>
      <c r="M53" s="197"/>
      <c r="N53" s="197"/>
      <c r="O53" s="197"/>
      <c r="P53" s="197"/>
      <c r="Q53" s="197"/>
      <c r="R53" s="197"/>
      <c r="S53" s="197"/>
      <c r="T53" s="197"/>
      <c r="U53" s="197"/>
      <c r="V53" s="197"/>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row>
    <row r="54" spans="1:57" s="22" customFormat="1" x14ac:dyDescent="0.25">
      <c r="A54" s="202"/>
      <c r="B54" s="36" t="s">
        <v>51</v>
      </c>
      <c r="C54" s="24" t="s">
        <v>137</v>
      </c>
      <c r="D54" s="197"/>
      <c r="E54" s="197"/>
      <c r="F54" s="197"/>
      <c r="G54" s="197"/>
      <c r="H54" s="197"/>
      <c r="I54" s="197"/>
      <c r="J54" s="197"/>
      <c r="K54" s="197"/>
      <c r="L54" s="197"/>
      <c r="M54" s="197"/>
      <c r="N54" s="197"/>
      <c r="O54" s="197"/>
      <c r="P54" s="197"/>
      <c r="Q54" s="197"/>
      <c r="R54" s="197"/>
      <c r="S54" s="197"/>
      <c r="T54" s="197"/>
      <c r="U54" s="197"/>
      <c r="V54" s="197"/>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row>
    <row r="55" spans="1:57" s="22" customFormat="1" x14ac:dyDescent="0.25">
      <c r="A55" s="202"/>
      <c r="B55" s="36" t="s">
        <v>52</v>
      </c>
      <c r="C55" s="24" t="s">
        <v>138</v>
      </c>
      <c r="D55" s="197"/>
      <c r="E55" s="197"/>
      <c r="F55" s="197"/>
      <c r="G55" s="197"/>
      <c r="H55" s="197"/>
      <c r="I55" s="197"/>
      <c r="J55" s="197"/>
      <c r="K55" s="197"/>
      <c r="L55" s="197"/>
      <c r="M55" s="197"/>
      <c r="N55" s="197"/>
      <c r="O55" s="197"/>
      <c r="P55" s="197"/>
      <c r="Q55" s="197"/>
      <c r="R55" s="197"/>
      <c r="S55" s="197"/>
      <c r="T55" s="197"/>
      <c r="U55" s="197"/>
      <c r="V55" s="197"/>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row>
    <row r="56" spans="1:57" s="22" customFormat="1" x14ac:dyDescent="0.25">
      <c r="A56" s="202"/>
      <c r="B56" s="36" t="s">
        <v>53</v>
      </c>
      <c r="C56" s="24" t="s">
        <v>117</v>
      </c>
      <c r="D56" s="197"/>
      <c r="E56" s="197"/>
      <c r="F56" s="197"/>
      <c r="G56" s="197"/>
      <c r="H56" s="197"/>
      <c r="I56" s="197"/>
      <c r="J56" s="197"/>
      <c r="K56" s="197"/>
      <c r="L56" s="197"/>
      <c r="M56" s="197"/>
      <c r="N56" s="197"/>
      <c r="O56" s="197"/>
      <c r="P56" s="197"/>
      <c r="Q56" s="197"/>
      <c r="R56" s="197"/>
      <c r="S56" s="197"/>
      <c r="T56" s="197"/>
      <c r="U56" s="197"/>
      <c r="V56" s="197"/>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row>
    <row r="57" spans="1:57" s="22" customFormat="1" x14ac:dyDescent="0.25">
      <c r="A57" s="202"/>
      <c r="B57" s="35" t="s">
        <v>107</v>
      </c>
      <c r="C57" s="21" t="s">
        <v>139</v>
      </c>
      <c r="D57" s="154">
        <f t="shared" ref="D57:O57" si="25">SUM(D58:D64)</f>
        <v>5587.0131170000004</v>
      </c>
      <c r="E57" s="154">
        <f t="shared" si="25"/>
        <v>7406.7767430000004</v>
      </c>
      <c r="F57" s="154">
        <f t="shared" si="25"/>
        <v>7811.6407399999998</v>
      </c>
      <c r="G57" s="154">
        <f t="shared" si="25"/>
        <v>7762.4267100000006</v>
      </c>
      <c r="H57" s="154">
        <f t="shared" si="25"/>
        <v>9535.6376549999986</v>
      </c>
      <c r="I57" s="154">
        <f t="shared" si="25"/>
        <v>9076.9593999999997</v>
      </c>
      <c r="J57" s="154">
        <f t="shared" si="25"/>
        <v>9891.7652266000023</v>
      </c>
      <c r="K57" s="154">
        <f t="shared" si="25"/>
        <v>19293.055444000001</v>
      </c>
      <c r="L57" s="154">
        <f t="shared" si="25"/>
        <v>16000.3639349</v>
      </c>
      <c r="M57" s="154">
        <f t="shared" si="25"/>
        <v>9668.5526399999999</v>
      </c>
      <c r="N57" s="154">
        <f t="shared" si="25"/>
        <v>6.0419540234999998</v>
      </c>
      <c r="O57" s="154">
        <f t="shared" si="25"/>
        <v>7.5079927422500008</v>
      </c>
      <c r="P57" s="155">
        <f t="shared" ref="P57:U57" si="26">SUM(P58:P64)</f>
        <v>7.7993372325000001</v>
      </c>
      <c r="Q57" s="155">
        <f t="shared" si="26"/>
        <v>8.2057294462500003</v>
      </c>
      <c r="R57" s="155">
        <f t="shared" si="26"/>
        <v>9.4209680912499998</v>
      </c>
      <c r="S57" s="155">
        <f t="shared" si="26"/>
        <v>9.28066085665</v>
      </c>
      <c r="T57" s="155">
        <f t="shared" si="26"/>
        <v>12.242087780949999</v>
      </c>
      <c r="U57" s="155">
        <f t="shared" si="26"/>
        <v>18.469882566725001</v>
      </c>
      <c r="V57" s="155">
        <f t="shared" ref="V57" si="27">SUM(V58:V64)</f>
        <v>14.417411111174999</v>
      </c>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row>
    <row r="58" spans="1:57" s="22" customFormat="1" x14ac:dyDescent="0.25">
      <c r="A58" s="202"/>
      <c r="B58" s="36" t="s">
        <v>84</v>
      </c>
      <c r="C58" s="24" t="s">
        <v>140</v>
      </c>
      <c r="D58" s="158">
        <f>IFERROR(VLOOKUP($B58,'7'!$A$5:$K$31,2,FALSE)/10^3,"")</f>
        <v>4017.7911900000004</v>
      </c>
      <c r="E58" s="189">
        <f>IFERROR(VLOOKUP($B58,'7'!$A$5:$K$31,3,FALSE)/10^3,"")</f>
        <v>5745.9163000000008</v>
      </c>
      <c r="F58" s="189">
        <f>IFERROR(VLOOKUP($B58,'7'!$A$5:$K$31,4,FALSE)/10^3,"")</f>
        <v>5656.6288800000002</v>
      </c>
      <c r="G58" s="189">
        <f>IFERROR(VLOOKUP($B58,'7'!$A$5:$K$31,5,FALSE)/10^3,"")</f>
        <v>5448.2289900000005</v>
      </c>
      <c r="H58" s="189">
        <f>IFERROR(VLOOKUP($B58,'7'!$A$5:$K$31,6,FALSE)/10^3,"")</f>
        <v>6972.9642999999996</v>
      </c>
      <c r="I58" s="189">
        <f>IFERROR(VLOOKUP($B58,'7'!$A$5:$K$31,7,FALSE)/10^3,"")</f>
        <v>6170.6191200000003</v>
      </c>
      <c r="J58" s="189">
        <f>IFERROR(VLOOKUP($B58,'7'!$A$5:$K$31,8,FALSE)/10^3,"")</f>
        <v>6794.3339260000002</v>
      </c>
      <c r="K58" s="189">
        <f>IFERROR(VLOOKUP($B58,'7'!$A$5:$K$31,9,FALSE)/10^3,"")</f>
        <v>16100.473544</v>
      </c>
      <c r="L58" s="189">
        <f>IFERROR(VLOOKUP($B58,'7'!$A$5:$K$31,10,FALSE)/10^3,"")</f>
        <v>12726.724260700001</v>
      </c>
      <c r="M58" s="189">
        <f>IFERROR(VLOOKUP($B58,'7'!$A$5:$K$31,11,FALSE)/10^3,"")</f>
        <v>6447.4973399999999</v>
      </c>
      <c r="N58" s="190">
        <f>IFERROR(((3/4)*D58+(1/4)*E58)/1000,"")</f>
        <v>4.4498224674999998</v>
      </c>
      <c r="O58" s="190">
        <f t="shared" ref="O58:V64" si="28">IFERROR(((3/4)*E58+(1/4)*F58)/1000,"")</f>
        <v>5.7235944450000007</v>
      </c>
      <c r="P58" s="190">
        <f t="shared" si="28"/>
        <v>5.6045289074999998</v>
      </c>
      <c r="Q58" s="190">
        <f t="shared" si="28"/>
        <v>5.8294128175000006</v>
      </c>
      <c r="R58" s="190">
        <f t="shared" si="28"/>
        <v>6.7723780049999993</v>
      </c>
      <c r="S58" s="190">
        <f t="shared" si="28"/>
        <v>6.3265478215000002</v>
      </c>
      <c r="T58" s="190">
        <f t="shared" si="28"/>
        <v>9.1208688304999992</v>
      </c>
      <c r="U58" s="190">
        <f t="shared" si="28"/>
        <v>15.257036223175</v>
      </c>
      <c r="V58" s="190">
        <f t="shared" si="28"/>
        <v>11.156917530525002</v>
      </c>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row>
    <row r="59" spans="1:57" s="41" customFormat="1" x14ac:dyDescent="0.25">
      <c r="A59" s="202"/>
      <c r="B59" s="36" t="s">
        <v>85</v>
      </c>
      <c r="C59" s="24" t="s">
        <v>141</v>
      </c>
      <c r="D59" s="158">
        <f>IFERROR(VLOOKUP($B59,'7'!$A$5:$K$31,2,FALSE)/10^3,"")</f>
        <v>0</v>
      </c>
      <c r="E59" s="189">
        <f>IFERROR(VLOOKUP($B59,'7'!$A$5:$K$31,3,FALSE)/10^3,"")</f>
        <v>0</v>
      </c>
      <c r="F59" s="189">
        <f>IFERROR(VLOOKUP($B59,'7'!$A$5:$K$31,4,FALSE)/10^3,"")</f>
        <v>0</v>
      </c>
      <c r="G59" s="189">
        <f>IFERROR(VLOOKUP($B59,'7'!$A$5:$K$31,5,FALSE)/10^3,"")</f>
        <v>0</v>
      </c>
      <c r="H59" s="189">
        <f>IFERROR(VLOOKUP($B59,'7'!$A$5:$K$31,6,FALSE)/10^3,"")</f>
        <v>0</v>
      </c>
      <c r="I59" s="189">
        <f>IFERROR(VLOOKUP($B59,'7'!$A$5:$K$31,7,FALSE)/10^3,"")</f>
        <v>0</v>
      </c>
      <c r="J59" s="189">
        <f>IFERROR(VLOOKUP($B59,'7'!$A$5:$K$31,8,FALSE)/10^3,"")</f>
        <v>0</v>
      </c>
      <c r="K59" s="189">
        <f>IFERROR(VLOOKUP($B59,'7'!$A$5:$K$31,9,FALSE)/10^3,"")</f>
        <v>0</v>
      </c>
      <c r="L59" s="189">
        <f>IFERROR(VLOOKUP($B59,'7'!$A$5:$K$31,10,FALSE)/10^3,"")</f>
        <v>0</v>
      </c>
      <c r="M59" s="189">
        <f>IFERROR(VLOOKUP($B59,'7'!$A$5:$K$31,11,FALSE)/10^3,"")</f>
        <v>0</v>
      </c>
      <c r="N59" s="190">
        <f t="shared" ref="N59:N64" si="29">IFERROR(((3/4)*D59+(1/4)*E59)/1000,"")</f>
        <v>0</v>
      </c>
      <c r="O59" s="190">
        <f t="shared" si="28"/>
        <v>0</v>
      </c>
      <c r="P59" s="190">
        <f t="shared" si="28"/>
        <v>0</v>
      </c>
      <c r="Q59" s="190">
        <f t="shared" si="28"/>
        <v>0</v>
      </c>
      <c r="R59" s="190">
        <f t="shared" si="28"/>
        <v>0</v>
      </c>
      <c r="S59" s="190">
        <f t="shared" si="28"/>
        <v>0</v>
      </c>
      <c r="T59" s="190">
        <f t="shared" si="28"/>
        <v>0</v>
      </c>
      <c r="U59" s="190">
        <f t="shared" si="28"/>
        <v>0</v>
      </c>
      <c r="V59" s="190">
        <f t="shared" si="28"/>
        <v>0</v>
      </c>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row>
    <row r="60" spans="1:57" s="41" customFormat="1" x14ac:dyDescent="0.25">
      <c r="A60" s="202"/>
      <c r="B60" s="36" t="s">
        <v>86</v>
      </c>
      <c r="C60" s="24" t="s">
        <v>142</v>
      </c>
      <c r="D60" s="158">
        <f>IFERROR(VLOOKUP($B60,'7'!$A$5:$K$31,2,FALSE)/10^3,"")</f>
        <v>1421.97</v>
      </c>
      <c r="E60" s="189">
        <f>IFERROR(VLOOKUP($B60,'7'!$A$5:$K$31,3,FALSE)/10^3,"")</f>
        <v>1481.865</v>
      </c>
      <c r="F60" s="189">
        <f>IFERROR(VLOOKUP($B60,'7'!$A$5:$K$31,4,FALSE)/10^3,"")</f>
        <v>1902.45</v>
      </c>
      <c r="G60" s="189">
        <f>IFERROR(VLOOKUP($B60,'7'!$A$5:$K$31,5,FALSE)/10^3,"")</f>
        <v>2041.05</v>
      </c>
      <c r="H60" s="189">
        <f>IFERROR(VLOOKUP($B60,'7'!$A$5:$K$31,6,FALSE)/10^3,"")</f>
        <v>2222.1390000000001</v>
      </c>
      <c r="I60" s="189">
        <f>IFERROR(VLOOKUP($B60,'7'!$A$5:$K$31,7,FALSE)/10^3,"")</f>
        <v>2547.6</v>
      </c>
      <c r="J60" s="189">
        <f>IFERROR(VLOOKUP($B60,'7'!$A$5:$K$31,8,FALSE)/10^3,"")</f>
        <v>2674.7040000000002</v>
      </c>
      <c r="K60" s="189">
        <f>IFERROR(VLOOKUP($B60,'7'!$A$5:$K$31,9,FALSE)/10^3,"")</f>
        <v>2729.357</v>
      </c>
      <c r="L60" s="189">
        <f>IFERROR(VLOOKUP($B60,'7'!$A$5:$K$31,10,FALSE)/10^3,"")</f>
        <v>2838.7049999999999</v>
      </c>
      <c r="M60" s="189">
        <f>IFERROR(VLOOKUP($B60,'7'!$A$5:$K$31,11,FALSE)/10^3,"")</f>
        <v>2751.0450000000001</v>
      </c>
      <c r="N60" s="190">
        <f t="shared" si="29"/>
        <v>1.43694375</v>
      </c>
      <c r="O60" s="190">
        <f t="shared" si="28"/>
        <v>1.58701125</v>
      </c>
      <c r="P60" s="190">
        <f t="shared" si="28"/>
        <v>1.9371</v>
      </c>
      <c r="Q60" s="190">
        <f t="shared" si="28"/>
        <v>2.0863222500000003</v>
      </c>
      <c r="R60" s="190">
        <f t="shared" si="28"/>
        <v>2.30350425</v>
      </c>
      <c r="S60" s="190">
        <f t="shared" si="28"/>
        <v>2.5793759999999999</v>
      </c>
      <c r="T60" s="190">
        <f t="shared" si="28"/>
        <v>2.6883672500000002</v>
      </c>
      <c r="U60" s="190">
        <f t="shared" si="28"/>
        <v>2.756694</v>
      </c>
      <c r="V60" s="190">
        <f t="shared" si="28"/>
        <v>2.8167900000000001</v>
      </c>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row>
    <row r="61" spans="1:57" s="22" customFormat="1" x14ac:dyDescent="0.25">
      <c r="A61" s="202"/>
      <c r="B61" s="36" t="s">
        <v>87</v>
      </c>
      <c r="C61" s="24" t="s">
        <v>143</v>
      </c>
      <c r="D61" s="158" t="str">
        <f>IFERROR(VLOOKUP($B61,'7'!$A$5:$K$31,2,FALSE)/10^3,"")</f>
        <v/>
      </c>
      <c r="E61" s="189" t="str">
        <f>IFERROR(VLOOKUP($B61,'7'!$A$5:$K$31,3,FALSE)/10^3,"")</f>
        <v/>
      </c>
      <c r="F61" s="189" t="str">
        <f>IFERROR(VLOOKUP($B61,'7'!$A$5:$K$31,4,FALSE)/10^3,"")</f>
        <v/>
      </c>
      <c r="G61" s="189" t="str">
        <f>IFERROR(VLOOKUP($B61,'7'!$A$5:$K$31,5,FALSE)/10^3,"")</f>
        <v/>
      </c>
      <c r="H61" s="189" t="str">
        <f>IFERROR(VLOOKUP($B61,'7'!$A$5:$K$31,6,FALSE)/10^3,"")</f>
        <v/>
      </c>
      <c r="I61" s="189" t="str">
        <f>IFERROR(VLOOKUP($B61,'7'!$A$5:$K$31,7,FALSE)/10^3,"")</f>
        <v/>
      </c>
      <c r="J61" s="189" t="str">
        <f>IFERROR(VLOOKUP($B61,'7'!$A$5:$K$31,8,FALSE)/10^3,"")</f>
        <v/>
      </c>
      <c r="K61" s="189" t="str">
        <f>IFERROR(VLOOKUP($B61,'7'!$A$5:$K$31,9,FALSE)/10^3,"")</f>
        <v/>
      </c>
      <c r="L61" s="189" t="str">
        <f>IFERROR(VLOOKUP($B61,'7'!$A$5:$K$31,10,FALSE)/10^3,"")</f>
        <v/>
      </c>
      <c r="M61" s="189" t="str">
        <f>IFERROR(VLOOKUP($B61,'7'!$A$5:$K$31,11,FALSE)/10^3,"")</f>
        <v/>
      </c>
      <c r="N61" s="190" t="str">
        <f t="shared" si="29"/>
        <v/>
      </c>
      <c r="O61" s="190" t="str">
        <f t="shared" si="28"/>
        <v/>
      </c>
      <c r="P61" s="190" t="str">
        <f t="shared" si="28"/>
        <v/>
      </c>
      <c r="Q61" s="190" t="str">
        <f t="shared" si="28"/>
        <v/>
      </c>
      <c r="R61" s="190" t="str">
        <f t="shared" si="28"/>
        <v/>
      </c>
      <c r="S61" s="190" t="str">
        <f t="shared" si="28"/>
        <v/>
      </c>
      <c r="T61" s="190" t="str">
        <f t="shared" si="28"/>
        <v/>
      </c>
      <c r="U61" s="190" t="str">
        <f t="shared" si="28"/>
        <v/>
      </c>
      <c r="V61" s="190" t="str">
        <f t="shared" si="28"/>
        <v/>
      </c>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row>
    <row r="62" spans="1:57" s="22" customFormat="1" x14ac:dyDescent="0.25">
      <c r="A62" s="202"/>
      <c r="B62" s="36" t="s">
        <v>88</v>
      </c>
      <c r="C62" s="24" t="s">
        <v>144</v>
      </c>
      <c r="D62" s="158">
        <f>IFERROR(VLOOKUP($B62,'7'!$A$5:$K$31,2,FALSE)/10^3,"")</f>
        <v>8.1416400000000007</v>
      </c>
      <c r="E62" s="189">
        <f>IFERROR(VLOOKUP($B62,'7'!$A$5:$K$31,3,FALSE)/10^3,"")</f>
        <v>12.384840000000001</v>
      </c>
      <c r="F62" s="189">
        <f>IFERROR(VLOOKUP($B62,'7'!$A$5:$K$31,4,FALSE)/10^3,"")</f>
        <v>23.206040000000002</v>
      </c>
      <c r="G62" s="189">
        <f>IFERROR(VLOOKUP($B62,'7'!$A$5:$K$31,5,FALSE)/10^3,"")</f>
        <v>30.28792</v>
      </c>
      <c r="H62" s="189">
        <f>IFERROR(VLOOKUP($B62,'7'!$A$5:$K$31,6,FALSE)/10^3,"")</f>
        <v>31.36796</v>
      </c>
      <c r="I62" s="189">
        <f>IFERROR(VLOOKUP($B62,'7'!$A$5:$K$31,7,FALSE)/10^3,"")</f>
        <v>33.445879999999995</v>
      </c>
      <c r="J62" s="189">
        <f>IFERROR(VLOOKUP($B62,'7'!$A$5:$K$31,8,FALSE)/10^3,"")</f>
        <v>29.79288</v>
      </c>
      <c r="K62" s="189">
        <f>IFERROR(VLOOKUP($B62,'7'!$A$5:$K$31,9,FALSE)/10^3,"")</f>
        <v>47.892000000000003</v>
      </c>
      <c r="L62" s="189">
        <f>IFERROR(VLOOKUP($B62,'7'!$A$5:$K$31,10,FALSE)/10^3,"")</f>
        <v>61.524839999999998</v>
      </c>
      <c r="M62" s="189">
        <f>IFERROR(VLOOKUP($B62,'7'!$A$5:$K$31,11,FALSE)/10^3,"")</f>
        <v>63.749400000000001</v>
      </c>
      <c r="N62" s="190">
        <f t="shared" si="29"/>
        <v>9.2024399999999992E-3</v>
      </c>
      <c r="O62" s="190">
        <f t="shared" si="28"/>
        <v>1.5090140000000002E-2</v>
      </c>
      <c r="P62" s="190">
        <f t="shared" si="28"/>
        <v>2.497651E-2</v>
      </c>
      <c r="Q62" s="190">
        <f t="shared" si="28"/>
        <v>3.0557930000000001E-2</v>
      </c>
      <c r="R62" s="190">
        <f t="shared" si="28"/>
        <v>3.1887439999999996E-2</v>
      </c>
      <c r="S62" s="190">
        <f t="shared" si="28"/>
        <v>3.253263E-2</v>
      </c>
      <c r="T62" s="190">
        <f t="shared" si="28"/>
        <v>3.4317660000000007E-2</v>
      </c>
      <c r="U62" s="190">
        <f t="shared" si="28"/>
        <v>5.1300210000000006E-2</v>
      </c>
      <c r="V62" s="190">
        <f t="shared" si="28"/>
        <v>6.2080980000000001E-2</v>
      </c>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row>
    <row r="63" spans="1:57" s="22" customFormat="1" x14ac:dyDescent="0.25">
      <c r="A63" s="202"/>
      <c r="B63" s="36" t="s">
        <v>89</v>
      </c>
      <c r="C63" s="24" t="s">
        <v>145</v>
      </c>
      <c r="D63" s="158">
        <f>IFERROR(VLOOKUP($B63,'7'!$A$5:$K$31,2,FALSE)/10^3,"")</f>
        <v>126.67</v>
      </c>
      <c r="E63" s="189">
        <f>IFERROR(VLOOKUP($B63,'7'!$A$5:$K$31,3,FALSE)/10^3,"")</f>
        <v>156.88</v>
      </c>
      <c r="F63" s="189">
        <f>IFERROR(VLOOKUP($B63,'7'!$A$5:$K$31,4,FALSE)/10^3,"")</f>
        <v>201.90090000000001</v>
      </c>
      <c r="G63" s="189">
        <f>IFERROR(VLOOKUP($B63,'7'!$A$5:$K$31,5,FALSE)/10^3,"")</f>
        <v>242.85979999999998</v>
      </c>
      <c r="H63" s="189">
        <f>IFERROR(VLOOKUP($B63,'7'!$A$5:$K$31,6,FALSE)/10^3,"")</f>
        <v>308.54849999999999</v>
      </c>
      <c r="I63" s="189">
        <f>IFERROR(VLOOKUP($B63,'7'!$A$5:$K$31,7,FALSE)/10^3,"")</f>
        <v>325.2944</v>
      </c>
      <c r="J63" s="189">
        <f>IFERROR(VLOOKUP($B63,'7'!$A$5:$K$31,8,FALSE)/10^3,"")</f>
        <v>392.41309999999999</v>
      </c>
      <c r="K63" s="189">
        <f>IFERROR(VLOOKUP($B63,'7'!$A$5:$K$31,9,FALSE)/10^3,"")</f>
        <v>415.3329</v>
      </c>
      <c r="L63" s="189">
        <f>IFERROR(VLOOKUP($B63,'7'!$A$5:$K$31,10,FALSE)/10^3,"")</f>
        <v>373.24079999999998</v>
      </c>
      <c r="M63" s="189">
        <f>IFERROR(VLOOKUP($B63,'7'!$A$5:$K$31,11,FALSE)/10^3,"")</f>
        <v>406.26090000000005</v>
      </c>
      <c r="N63" s="190">
        <f t="shared" si="29"/>
        <v>0.13422249999999999</v>
      </c>
      <c r="O63" s="190">
        <f t="shared" si="28"/>
        <v>0.168135225</v>
      </c>
      <c r="P63" s="190">
        <f t="shared" si="28"/>
        <v>0.212140625</v>
      </c>
      <c r="Q63" s="190">
        <f t="shared" si="28"/>
        <v>0.259281975</v>
      </c>
      <c r="R63" s="190">
        <f t="shared" si="28"/>
        <v>0.31273497499999997</v>
      </c>
      <c r="S63" s="190">
        <f t="shared" si="28"/>
        <v>0.34207407499999998</v>
      </c>
      <c r="T63" s="190">
        <f t="shared" si="28"/>
        <v>0.39814305</v>
      </c>
      <c r="U63" s="190">
        <f t="shared" si="28"/>
        <v>0.40480987500000004</v>
      </c>
      <c r="V63" s="190">
        <f t="shared" si="28"/>
        <v>0.38149582499999996</v>
      </c>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row>
    <row r="64" spans="1:57" s="22" customFormat="1" x14ac:dyDescent="0.25">
      <c r="A64" s="202"/>
      <c r="B64" s="36" t="s">
        <v>90</v>
      </c>
      <c r="C64" s="24" t="s">
        <v>117</v>
      </c>
      <c r="D64" s="158">
        <f>IFERROR(VLOOKUP($B64,'7'!$A$5:$K$31,2,FALSE)/10^3,"")</f>
        <v>12.440286999999998</v>
      </c>
      <c r="E64" s="189">
        <f>IFERROR(VLOOKUP($B64,'7'!$A$5:$K$31,3,FALSE)/10^3,"")</f>
        <v>9.7306029999999986</v>
      </c>
      <c r="F64" s="189">
        <f>IFERROR(VLOOKUP($B64,'7'!$A$5:$K$31,4,FALSE)/10^3,"")</f>
        <v>27.454919999999998</v>
      </c>
      <c r="G64" s="189">
        <f>IFERROR(VLOOKUP($B64,'7'!$A$5:$K$31,5,FALSE)/10^3,"")</f>
        <v>0</v>
      </c>
      <c r="H64" s="189">
        <f>IFERROR(VLOOKUP($B64,'7'!$A$5:$K$31,6,FALSE)/10^3,"")</f>
        <v>0.61789499999999997</v>
      </c>
      <c r="I64" s="189">
        <f>IFERROR(VLOOKUP($B64,'7'!$A$5:$K$31,7,FALSE)/10^3,"")</f>
        <v>0</v>
      </c>
      <c r="J64" s="189">
        <f>IFERROR(VLOOKUP($B64,'7'!$A$5:$K$31,8,FALSE)/10^3,"")</f>
        <v>0.52132060000000002</v>
      </c>
      <c r="K64" s="189">
        <f>IFERROR(VLOOKUP($B64,'7'!$A$5:$K$31,9,FALSE)/10^3,"")</f>
        <v>0</v>
      </c>
      <c r="L64" s="189">
        <f>IFERROR(VLOOKUP($B64,'7'!$A$5:$K$31,10,FALSE)/10^3,"")</f>
        <v>0.1690342</v>
      </c>
      <c r="M64" s="189">
        <f>IFERROR(VLOOKUP($B64,'7'!$A$5:$K$31,11,FALSE)/10^3,"")</f>
        <v>0</v>
      </c>
      <c r="N64" s="190">
        <f t="shared" si="29"/>
        <v>1.1762865999999999E-2</v>
      </c>
      <c r="O64" s="190">
        <f t="shared" si="28"/>
        <v>1.4161682249999998E-2</v>
      </c>
      <c r="P64" s="190">
        <f t="shared" si="28"/>
        <v>2.0591189999999999E-2</v>
      </c>
      <c r="Q64" s="190">
        <f t="shared" si="28"/>
        <v>1.5447374999999998E-4</v>
      </c>
      <c r="R64" s="190">
        <f t="shared" si="28"/>
        <v>4.6342125000000002E-4</v>
      </c>
      <c r="S64" s="190">
        <f t="shared" si="28"/>
        <v>1.3033015E-4</v>
      </c>
      <c r="T64" s="190">
        <f t="shared" si="28"/>
        <v>3.9099045000000001E-4</v>
      </c>
      <c r="U64" s="190">
        <f t="shared" si="28"/>
        <v>4.2258549999999999E-5</v>
      </c>
      <c r="V64" s="190">
        <f t="shared" si="28"/>
        <v>1.2677564999999998E-4</v>
      </c>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row>
    <row r="65" spans="1:57" s="22" customFormat="1" ht="29.25" x14ac:dyDescent="0.25">
      <c r="A65" s="202"/>
      <c r="B65" s="35" t="s">
        <v>108</v>
      </c>
      <c r="C65" s="21" t="s">
        <v>146</v>
      </c>
      <c r="D65" s="154">
        <f t="shared" ref="D65:O65" si="30">SUM(D66:D69)</f>
        <v>2572.212</v>
      </c>
      <c r="E65" s="154">
        <f t="shared" si="30"/>
        <v>3415.7739999999999</v>
      </c>
      <c r="F65" s="154">
        <f t="shared" si="30"/>
        <v>2898.3657000000003</v>
      </c>
      <c r="G65" s="154">
        <f t="shared" si="30"/>
        <v>3694.3879999999999</v>
      </c>
      <c r="H65" s="154">
        <f t="shared" si="30"/>
        <v>3021.4480000000003</v>
      </c>
      <c r="I65" s="154">
        <f t="shared" si="30"/>
        <v>3189.6550999999999</v>
      </c>
      <c r="J65" s="154">
        <f t="shared" si="30"/>
        <v>4596.5529999999999</v>
      </c>
      <c r="K65" s="154">
        <f t="shared" si="30"/>
        <v>4509.2690000000002</v>
      </c>
      <c r="L65" s="154">
        <f t="shared" si="30"/>
        <v>4721.7820000000002</v>
      </c>
      <c r="M65" s="154">
        <f t="shared" si="30"/>
        <v>4421.0650000000005</v>
      </c>
      <c r="N65" s="154">
        <f t="shared" si="30"/>
        <v>3.2048835000000002</v>
      </c>
      <c r="O65" s="154">
        <f t="shared" si="30"/>
        <v>3.0277177750000002</v>
      </c>
      <c r="P65" s="155">
        <f t="shared" ref="P65:U65" si="31">SUM(P66:P69)</f>
        <v>3.4953824250000003</v>
      </c>
      <c r="Q65" s="155">
        <f t="shared" si="31"/>
        <v>3.1896829999999996</v>
      </c>
      <c r="R65" s="155">
        <f t="shared" si="31"/>
        <v>3.1476033250000004</v>
      </c>
      <c r="S65" s="155">
        <f t="shared" si="31"/>
        <v>4.244828525</v>
      </c>
      <c r="T65" s="155">
        <f t="shared" si="31"/>
        <v>4.5310899999999998</v>
      </c>
      <c r="U65" s="155">
        <f t="shared" si="31"/>
        <v>4.6686537500000007</v>
      </c>
      <c r="V65" s="155">
        <f t="shared" ref="V65" si="32">SUM(V66:V69)</f>
        <v>4.4962442500000002</v>
      </c>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row>
    <row r="66" spans="1:57" s="22" customFormat="1" x14ac:dyDescent="0.25">
      <c r="A66" s="202"/>
      <c r="B66" s="36" t="s">
        <v>91</v>
      </c>
      <c r="C66" s="24" t="s">
        <v>147</v>
      </c>
      <c r="D66" s="158">
        <f>IFERROR(VLOOKUP($B66,'7'!$A$5:$K$31,2,FALSE)/10^3,"")</f>
        <v>605.97900000000004</v>
      </c>
      <c r="E66" s="189">
        <f>IFERROR(VLOOKUP($B66,'7'!$A$5:$K$31,3,FALSE)/10^3,"")</f>
        <v>1327.58</v>
      </c>
      <c r="F66" s="189">
        <f>IFERROR(VLOOKUP($B66,'7'!$A$5:$K$31,4,FALSE)/10^3,"")</f>
        <v>690.68169999999998</v>
      </c>
      <c r="G66" s="189">
        <f>IFERROR(VLOOKUP($B66,'7'!$A$5:$K$31,5,FALSE)/10^3,"")</f>
        <v>1348.424</v>
      </c>
      <c r="H66" s="189">
        <f>IFERROR(VLOOKUP($B66,'7'!$A$5:$K$31,6,FALSE)/10^3,"")</f>
        <v>512.50099999999998</v>
      </c>
      <c r="I66" s="189">
        <f>IFERROR(VLOOKUP($B66,'7'!$A$5:$K$31,7,FALSE)/10^3,"")</f>
        <v>485.1481</v>
      </c>
      <c r="J66" s="189">
        <f>IFERROR(VLOOKUP($B66,'7'!$A$5:$K$31,8,FALSE)/10^3,"")</f>
        <v>1871.4359999999999</v>
      </c>
      <c r="K66" s="189">
        <f>IFERROR(VLOOKUP($B66,'7'!$A$5:$K$31,9,FALSE)/10^3,"")</f>
        <v>1727.5170000000001</v>
      </c>
      <c r="L66" s="189">
        <f>IFERROR(VLOOKUP($B66,'7'!$A$5:$K$31,10,FALSE)/10^3,"")</f>
        <v>1841.7460000000001</v>
      </c>
      <c r="M66" s="189">
        <f>IFERROR(VLOOKUP($B66,'7'!$A$5:$K$31,11,FALSE)/10^3,"")</f>
        <v>1506.723</v>
      </c>
      <c r="N66" s="190">
        <f t="shared" ref="N66:N67" si="33">IFERROR(((1/4)*D66+(3/4)*E66)/1000,"")</f>
        <v>1.1471797500000001</v>
      </c>
      <c r="O66" s="190">
        <f t="shared" ref="O66:O67" si="34">IFERROR(((1/4)*E66+(3/4)*F66)/1000,"")</f>
        <v>0.84990627499999993</v>
      </c>
      <c r="P66" s="190">
        <f t="shared" ref="P66:P67" si="35">IFERROR(((1/4)*F66+(3/4)*G66)/1000,"")</f>
        <v>1.1839884249999999</v>
      </c>
      <c r="Q66" s="190">
        <f t="shared" ref="Q66:Q67" si="36">IFERROR(((1/4)*G66+(3/4)*H66)/1000,"")</f>
        <v>0.72148174999999992</v>
      </c>
      <c r="R66" s="190">
        <f t="shared" ref="R66:R67" si="37">IFERROR(((1/4)*H66+(3/4)*I66)/1000,"")</f>
        <v>0.491986325</v>
      </c>
      <c r="S66" s="190">
        <f t="shared" ref="S66:S67" si="38">IFERROR(((1/4)*I66+(3/4)*J66)/1000,"")</f>
        <v>1.5248640250000001</v>
      </c>
      <c r="T66" s="190">
        <f t="shared" ref="T66:T67" si="39">IFERROR(((1/4)*J66+(3/4)*K66)/1000,"")</f>
        <v>1.7634967500000001</v>
      </c>
      <c r="U66" s="190">
        <f t="shared" ref="U66:U67" si="40">IFERROR(((1/4)*K66+(3/4)*L66)/1000,"")</f>
        <v>1.8131887500000001</v>
      </c>
      <c r="V66" s="190">
        <f t="shared" ref="V66:V67" si="41">IFERROR(((1/4)*L66+(3/4)*M66)/1000,"")</f>
        <v>1.5904787499999999</v>
      </c>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row>
    <row r="67" spans="1:57" s="22" customFormat="1" x14ac:dyDescent="0.25">
      <c r="A67" s="202"/>
      <c r="B67" s="36" t="s">
        <v>92</v>
      </c>
      <c r="C67" s="24" t="s">
        <v>148</v>
      </c>
      <c r="D67" s="158">
        <f>IFERROR(VLOOKUP($B67,'7'!$A$5:$K$31,2,FALSE)/10^3,"")</f>
        <v>1966.2329999999999</v>
      </c>
      <c r="E67" s="189">
        <f>IFERROR(VLOOKUP($B67,'7'!$A$5:$K$31,3,FALSE)/10^3,"")</f>
        <v>2088.194</v>
      </c>
      <c r="F67" s="189">
        <f>IFERROR(VLOOKUP($B67,'7'!$A$5:$K$31,4,FALSE)/10^3,"")</f>
        <v>2207.6840000000002</v>
      </c>
      <c r="G67" s="189">
        <f>IFERROR(VLOOKUP($B67,'7'!$A$5:$K$31,5,FALSE)/10^3,"")</f>
        <v>2345.9639999999999</v>
      </c>
      <c r="H67" s="189">
        <f>IFERROR(VLOOKUP($B67,'7'!$A$5:$K$31,6,FALSE)/10^3,"")</f>
        <v>2508.9470000000001</v>
      </c>
      <c r="I67" s="189">
        <f>IFERROR(VLOOKUP($B67,'7'!$A$5:$K$31,7,FALSE)/10^3,"")</f>
        <v>2704.5070000000001</v>
      </c>
      <c r="J67" s="189">
        <f>IFERROR(VLOOKUP($B67,'7'!$A$5:$K$31,8,FALSE)/10^3,"")</f>
        <v>2725.1170000000002</v>
      </c>
      <c r="K67" s="189">
        <f>IFERROR(VLOOKUP($B67,'7'!$A$5:$K$31,9,FALSE)/10^3,"")</f>
        <v>2781.752</v>
      </c>
      <c r="L67" s="189">
        <f>IFERROR(VLOOKUP($B67,'7'!$A$5:$K$31,10,FALSE)/10^3,"")</f>
        <v>2880.0360000000001</v>
      </c>
      <c r="M67" s="189">
        <f>IFERROR(VLOOKUP($B67,'7'!$A$5:$K$31,11,FALSE)/10^3,"")</f>
        <v>2914.3420000000001</v>
      </c>
      <c r="N67" s="190">
        <f t="shared" si="33"/>
        <v>2.0577037499999999</v>
      </c>
      <c r="O67" s="190">
        <f t="shared" si="34"/>
        <v>2.1778115000000002</v>
      </c>
      <c r="P67" s="190">
        <f t="shared" si="35"/>
        <v>2.3113940000000004</v>
      </c>
      <c r="Q67" s="190">
        <f t="shared" si="36"/>
        <v>2.4682012499999999</v>
      </c>
      <c r="R67" s="190">
        <f t="shared" si="37"/>
        <v>2.6556170000000003</v>
      </c>
      <c r="S67" s="190">
        <f t="shared" si="38"/>
        <v>2.7199645000000001</v>
      </c>
      <c r="T67" s="190">
        <f t="shared" si="39"/>
        <v>2.76759325</v>
      </c>
      <c r="U67" s="190">
        <f t="shared" si="40"/>
        <v>2.8554650000000001</v>
      </c>
      <c r="V67" s="190">
        <f t="shared" si="41"/>
        <v>2.9057654999999998</v>
      </c>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row>
    <row r="68" spans="1:57" s="22" customFormat="1" x14ac:dyDescent="0.25">
      <c r="A68" s="202"/>
      <c r="B68" s="36" t="s">
        <v>93</v>
      </c>
      <c r="C68" s="24" t="s">
        <v>149</v>
      </c>
      <c r="D68" s="158" t="str">
        <f>IFERROR(VLOOKUP($B68,'7'!$A$5:$K$31,2,FALSE)/10^3,"")</f>
        <v/>
      </c>
      <c r="E68" s="189" t="str">
        <f>IFERROR(VLOOKUP($B68,'7'!$A$5:$K$31,3,FALSE)/10^3,"")</f>
        <v/>
      </c>
      <c r="F68" s="189" t="str">
        <f>IFERROR(VLOOKUP($B68,'7'!$A$5:$K$31,4,FALSE)/10^3,"")</f>
        <v/>
      </c>
      <c r="G68" s="189" t="str">
        <f>IFERROR(VLOOKUP($B68,'7'!$A$5:$K$31,5,FALSE)/10^3,"")</f>
        <v/>
      </c>
      <c r="H68" s="189" t="str">
        <f>IFERROR(VLOOKUP($B68,'7'!$A$5:$K$31,6,FALSE)/10^3,"")</f>
        <v/>
      </c>
      <c r="I68" s="189" t="str">
        <f>IFERROR(VLOOKUP($B68,'7'!$A$5:$K$31,7,FALSE)/10^3,"")</f>
        <v/>
      </c>
      <c r="J68" s="189" t="str">
        <f>IFERROR(VLOOKUP($B68,'7'!$A$5:$K$31,8,FALSE)/10^3,"")</f>
        <v/>
      </c>
      <c r="K68" s="189" t="str">
        <f>IFERROR(VLOOKUP($B68,'7'!$A$5:$K$31,9,FALSE)/10^3,"")</f>
        <v/>
      </c>
      <c r="L68" s="189" t="str">
        <f>IFERROR(VLOOKUP($B68,'7'!$A$5:$K$31,10,FALSE)/10^3,"")</f>
        <v/>
      </c>
      <c r="M68" s="189" t="str">
        <f>IFERROR(VLOOKUP($B68,'7'!$A$5:$K$31,11,FALSE)/10^3,"")</f>
        <v/>
      </c>
      <c r="N68" s="191"/>
      <c r="O68" s="191"/>
      <c r="P68" s="190" t="str">
        <f t="shared" ref="P68:P69" si="42">IFERROR(((1/4)*F68+(3/4)*G68)/1000,"")</f>
        <v/>
      </c>
      <c r="Q68" s="190" t="str">
        <f t="shared" ref="Q68:V69" si="43">IFERROR(((1/4)*G68+(3/4)*H68)/1000,"")</f>
        <v/>
      </c>
      <c r="R68" s="190" t="str">
        <f t="shared" si="43"/>
        <v/>
      </c>
      <c r="S68" s="190" t="str">
        <f t="shared" si="43"/>
        <v/>
      </c>
      <c r="T68" s="190" t="str">
        <f t="shared" si="43"/>
        <v/>
      </c>
      <c r="U68" s="190" t="str">
        <f t="shared" si="43"/>
        <v/>
      </c>
      <c r="V68" s="190" t="str">
        <f t="shared" si="43"/>
        <v/>
      </c>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row>
    <row r="69" spans="1:57" s="22" customFormat="1" x14ac:dyDescent="0.25">
      <c r="A69" s="202"/>
      <c r="B69" s="36" t="s">
        <v>94</v>
      </c>
      <c r="C69" s="24" t="s">
        <v>150</v>
      </c>
      <c r="D69" s="158">
        <f>IFERROR(VLOOKUP($B69,'7'!$A$5:$K$32,2,FALSE)/10^3,"")</f>
        <v>0</v>
      </c>
      <c r="E69" s="189">
        <f>IFERROR(VLOOKUP($B69,'7'!$A$5:$K$32,3,FALSE)/10^3,"")</f>
        <v>0</v>
      </c>
      <c r="F69" s="189">
        <f>IFERROR(VLOOKUP($B69,'7'!$A$5:$K$32,4,FALSE)/10^3,"")</f>
        <v>0</v>
      </c>
      <c r="G69" s="192">
        <f>IFERROR(VLOOKUP(B69,'7'!$A$5:$E$32,3,FALSE)/1000,"")</f>
        <v>0</v>
      </c>
      <c r="H69" s="189">
        <f>IFERROR(VLOOKUP($B69,'7'!$A$5:$K$32,6,FALSE)/10^3,"")</f>
        <v>0</v>
      </c>
      <c r="I69" s="189">
        <f>IFERROR(VLOOKUP($B69,'7'!$A$5:$K$32,7,FALSE)/10^3,"")</f>
        <v>0</v>
      </c>
      <c r="J69" s="189">
        <f>IFERROR(VLOOKUP($B69,'7'!$A$5:$K$32,8,FALSE)/10^3,"")</f>
        <v>0</v>
      </c>
      <c r="K69" s="189">
        <f>IFERROR(VLOOKUP($B69,'7'!$A$5:$K$32,9,FALSE)/10^3,"")</f>
        <v>0</v>
      </c>
      <c r="L69" s="189">
        <f>IFERROR(VLOOKUP($B69,'7'!$A$5:$K$32,10,FALSE)/10^3,"")</f>
        <v>0</v>
      </c>
      <c r="M69" s="189" t="str">
        <f>IFERROR(VLOOKUP($B69,'7'!$A$5:$K$31,12,FALSE)/10^3,"")</f>
        <v/>
      </c>
      <c r="N69" s="191"/>
      <c r="O69" s="191"/>
      <c r="P69" s="190">
        <f t="shared" si="42"/>
        <v>0</v>
      </c>
      <c r="Q69" s="190">
        <f t="shared" si="43"/>
        <v>0</v>
      </c>
      <c r="R69" s="190">
        <f t="shared" si="43"/>
        <v>0</v>
      </c>
      <c r="S69" s="190">
        <f t="shared" si="43"/>
        <v>0</v>
      </c>
      <c r="T69" s="190">
        <f t="shared" si="43"/>
        <v>0</v>
      </c>
      <c r="U69" s="190">
        <f t="shared" si="43"/>
        <v>0</v>
      </c>
      <c r="V69" s="190" t="str">
        <f t="shared" si="43"/>
        <v/>
      </c>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row>
    <row r="70" spans="1:57" s="22" customFormat="1" x14ac:dyDescent="0.25">
      <c r="A70" s="202"/>
      <c r="B70" s="35" t="s">
        <v>109</v>
      </c>
      <c r="C70" s="21" t="s">
        <v>151</v>
      </c>
      <c r="D70" s="160">
        <f t="shared" ref="D70:U70" si="44">SUM(D71:D75)</f>
        <v>0</v>
      </c>
      <c r="E70" s="160">
        <f t="shared" si="44"/>
        <v>0</v>
      </c>
      <c r="F70" s="160">
        <f t="shared" si="44"/>
        <v>0</v>
      </c>
      <c r="G70" s="160">
        <f t="shared" si="44"/>
        <v>0</v>
      </c>
      <c r="H70" s="160">
        <f t="shared" si="44"/>
        <v>0</v>
      </c>
      <c r="I70" s="160">
        <f t="shared" si="44"/>
        <v>0</v>
      </c>
      <c r="J70" s="160">
        <f t="shared" si="44"/>
        <v>0</v>
      </c>
      <c r="K70" s="160">
        <f t="shared" si="44"/>
        <v>0</v>
      </c>
      <c r="L70" s="160">
        <f t="shared" si="44"/>
        <v>0</v>
      </c>
      <c r="M70" s="160">
        <f t="shared" si="44"/>
        <v>0</v>
      </c>
      <c r="N70" s="160">
        <f t="shared" si="44"/>
        <v>0</v>
      </c>
      <c r="O70" s="160">
        <f t="shared" si="44"/>
        <v>0</v>
      </c>
      <c r="P70" s="160">
        <f t="shared" si="44"/>
        <v>0</v>
      </c>
      <c r="Q70" s="160">
        <f t="shared" si="44"/>
        <v>0</v>
      </c>
      <c r="R70" s="160">
        <f t="shared" si="44"/>
        <v>0</v>
      </c>
      <c r="S70" s="160">
        <f t="shared" si="44"/>
        <v>0</v>
      </c>
      <c r="T70" s="160">
        <f t="shared" si="44"/>
        <v>0</v>
      </c>
      <c r="U70" s="160">
        <f t="shared" si="44"/>
        <v>0</v>
      </c>
      <c r="V70" s="160">
        <f t="shared" ref="V70" si="45">SUM(V71:V75)</f>
        <v>0</v>
      </c>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row>
    <row r="71" spans="1:57" s="22" customFormat="1" x14ac:dyDescent="0.25">
      <c r="A71" s="202"/>
      <c r="B71" s="42" t="s">
        <v>54</v>
      </c>
      <c r="C71" s="24" t="s">
        <v>152</v>
      </c>
      <c r="D71" s="197" t="s">
        <v>268</v>
      </c>
      <c r="E71" s="197"/>
      <c r="F71" s="197"/>
      <c r="G71" s="197"/>
      <c r="H71" s="197"/>
      <c r="I71" s="197"/>
      <c r="J71" s="197"/>
      <c r="K71" s="197"/>
      <c r="L71" s="197"/>
      <c r="M71" s="197"/>
      <c r="N71" s="197"/>
      <c r="O71" s="197"/>
      <c r="P71" s="197"/>
      <c r="Q71" s="197"/>
      <c r="R71" s="197"/>
      <c r="S71" s="197"/>
      <c r="T71" s="197"/>
      <c r="U71" s="197"/>
      <c r="V71" s="197"/>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row>
    <row r="72" spans="1:57" s="22" customFormat="1" x14ac:dyDescent="0.25">
      <c r="A72" s="202"/>
      <c r="B72" s="42" t="s">
        <v>55</v>
      </c>
      <c r="C72" s="24" t="s">
        <v>153</v>
      </c>
      <c r="D72" s="197"/>
      <c r="E72" s="197"/>
      <c r="F72" s="197"/>
      <c r="G72" s="197"/>
      <c r="H72" s="197"/>
      <c r="I72" s="197"/>
      <c r="J72" s="197"/>
      <c r="K72" s="197"/>
      <c r="L72" s="197"/>
      <c r="M72" s="197"/>
      <c r="N72" s="197"/>
      <c r="O72" s="197"/>
      <c r="P72" s="197"/>
      <c r="Q72" s="197"/>
      <c r="R72" s="197"/>
      <c r="S72" s="197"/>
      <c r="T72" s="197"/>
      <c r="U72" s="197"/>
      <c r="V72" s="197"/>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row>
    <row r="73" spans="1:57" s="22" customFormat="1" x14ac:dyDescent="0.25">
      <c r="A73" s="202"/>
      <c r="B73" s="42" t="s">
        <v>56</v>
      </c>
      <c r="C73" s="24" t="s">
        <v>154</v>
      </c>
      <c r="D73" s="197"/>
      <c r="E73" s="197"/>
      <c r="F73" s="197"/>
      <c r="G73" s="197"/>
      <c r="H73" s="197"/>
      <c r="I73" s="197"/>
      <c r="J73" s="197"/>
      <c r="K73" s="197"/>
      <c r="L73" s="197"/>
      <c r="M73" s="197"/>
      <c r="N73" s="197"/>
      <c r="O73" s="197"/>
      <c r="P73" s="197"/>
      <c r="Q73" s="197"/>
      <c r="R73" s="197"/>
      <c r="S73" s="197"/>
      <c r="T73" s="197"/>
      <c r="U73" s="197"/>
      <c r="V73" s="197"/>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row>
    <row r="74" spans="1:57" s="22" customFormat="1" x14ac:dyDescent="0.25">
      <c r="A74" s="202"/>
      <c r="B74" s="42" t="s">
        <v>57</v>
      </c>
      <c r="C74" s="24" t="s">
        <v>155</v>
      </c>
      <c r="D74" s="197"/>
      <c r="E74" s="197"/>
      <c r="F74" s="197"/>
      <c r="G74" s="197"/>
      <c r="H74" s="197"/>
      <c r="I74" s="197"/>
      <c r="J74" s="197"/>
      <c r="K74" s="197"/>
      <c r="L74" s="197"/>
      <c r="M74" s="197"/>
      <c r="N74" s="197"/>
      <c r="O74" s="197"/>
      <c r="P74" s="197"/>
      <c r="Q74" s="197"/>
      <c r="R74" s="197"/>
      <c r="S74" s="197"/>
      <c r="T74" s="197"/>
      <c r="U74" s="197"/>
      <c r="V74" s="197"/>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row>
    <row r="75" spans="1:57" s="22" customFormat="1" x14ac:dyDescent="0.25">
      <c r="A75" s="202"/>
      <c r="B75" s="42" t="s">
        <v>58</v>
      </c>
      <c r="C75" s="24" t="s">
        <v>117</v>
      </c>
      <c r="D75" s="197"/>
      <c r="E75" s="197"/>
      <c r="F75" s="197"/>
      <c r="G75" s="197"/>
      <c r="H75" s="197"/>
      <c r="I75" s="197"/>
      <c r="J75" s="197"/>
      <c r="K75" s="197"/>
      <c r="L75" s="197"/>
      <c r="M75" s="197"/>
      <c r="N75" s="197"/>
      <c r="O75" s="197"/>
      <c r="P75" s="197"/>
      <c r="Q75" s="197"/>
      <c r="R75" s="197"/>
      <c r="S75" s="197"/>
      <c r="T75" s="197"/>
      <c r="U75" s="197"/>
      <c r="V75" s="197"/>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row>
    <row r="76" spans="1:57" s="22" customFormat="1" ht="29.25" x14ac:dyDescent="0.25">
      <c r="A76" s="202"/>
      <c r="B76" s="20" t="s">
        <v>110</v>
      </c>
      <c r="C76" s="21" t="s">
        <v>156</v>
      </c>
      <c r="D76" s="161"/>
      <c r="E76" s="161"/>
      <c r="F76" s="160">
        <f t="shared" ref="F76:U76" si="46">SUM(F77:F84)</f>
        <v>0</v>
      </c>
      <c r="G76" s="160">
        <f t="shared" si="46"/>
        <v>0</v>
      </c>
      <c r="H76" s="160">
        <f t="shared" si="46"/>
        <v>0</v>
      </c>
      <c r="I76" s="160">
        <f t="shared" si="46"/>
        <v>0</v>
      </c>
      <c r="J76" s="160">
        <f t="shared" si="46"/>
        <v>0</v>
      </c>
      <c r="K76" s="160">
        <f t="shared" si="46"/>
        <v>0</v>
      </c>
      <c r="L76" s="160">
        <f t="shared" si="46"/>
        <v>0</v>
      </c>
      <c r="M76" s="160"/>
      <c r="N76" s="160"/>
      <c r="O76" s="160"/>
      <c r="P76" s="160">
        <f t="shared" si="46"/>
        <v>0</v>
      </c>
      <c r="Q76" s="160">
        <f t="shared" si="46"/>
        <v>0</v>
      </c>
      <c r="R76" s="160">
        <f t="shared" si="46"/>
        <v>0</v>
      </c>
      <c r="S76" s="160">
        <f t="shared" si="46"/>
        <v>0</v>
      </c>
      <c r="T76" s="160">
        <f t="shared" si="46"/>
        <v>0</v>
      </c>
      <c r="U76" s="160">
        <f t="shared" si="46"/>
        <v>0</v>
      </c>
      <c r="V76" s="160">
        <f t="shared" ref="V76" si="47">SUM(V77:V84)</f>
        <v>0</v>
      </c>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row>
    <row r="77" spans="1:57" s="22" customFormat="1" x14ac:dyDescent="0.25">
      <c r="A77" s="202"/>
      <c r="B77" s="36" t="s">
        <v>95</v>
      </c>
      <c r="C77" s="24" t="s">
        <v>157</v>
      </c>
      <c r="D77" s="197" t="s">
        <v>268</v>
      </c>
      <c r="E77" s="197"/>
      <c r="F77" s="197"/>
      <c r="G77" s="197"/>
      <c r="H77" s="197"/>
      <c r="I77" s="197"/>
      <c r="J77" s="197"/>
      <c r="K77" s="197"/>
      <c r="L77" s="197"/>
      <c r="M77" s="197"/>
      <c r="N77" s="197"/>
      <c r="O77" s="197"/>
      <c r="P77" s="197"/>
      <c r="Q77" s="197"/>
      <c r="R77" s="197"/>
      <c r="S77" s="197"/>
      <c r="T77" s="197"/>
      <c r="U77" s="197"/>
      <c r="V77" s="197"/>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row>
    <row r="78" spans="1:57" s="22" customFormat="1" x14ac:dyDescent="0.25">
      <c r="A78" s="202"/>
      <c r="B78" s="36" t="s">
        <v>59</v>
      </c>
      <c r="C78" s="24" t="s">
        <v>158</v>
      </c>
      <c r="D78" s="197"/>
      <c r="E78" s="197"/>
      <c r="F78" s="197"/>
      <c r="G78" s="197"/>
      <c r="H78" s="197"/>
      <c r="I78" s="197"/>
      <c r="J78" s="197"/>
      <c r="K78" s="197"/>
      <c r="L78" s="197"/>
      <c r="M78" s="197"/>
      <c r="N78" s="197"/>
      <c r="O78" s="197"/>
      <c r="P78" s="197"/>
      <c r="Q78" s="197"/>
      <c r="R78" s="197"/>
      <c r="S78" s="197"/>
      <c r="T78" s="197"/>
      <c r="U78" s="197"/>
      <c r="V78" s="197"/>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row>
    <row r="79" spans="1:57" s="22" customFormat="1" x14ac:dyDescent="0.25">
      <c r="A79" s="202"/>
      <c r="B79" s="36" t="s">
        <v>60</v>
      </c>
      <c r="C79" s="24" t="s">
        <v>159</v>
      </c>
      <c r="D79" s="197"/>
      <c r="E79" s="197"/>
      <c r="F79" s="197"/>
      <c r="G79" s="197"/>
      <c r="H79" s="197"/>
      <c r="I79" s="197"/>
      <c r="J79" s="197"/>
      <c r="K79" s="197"/>
      <c r="L79" s="197"/>
      <c r="M79" s="197"/>
      <c r="N79" s="197"/>
      <c r="O79" s="197"/>
      <c r="P79" s="197"/>
      <c r="Q79" s="197"/>
      <c r="R79" s="197"/>
      <c r="S79" s="197"/>
      <c r="T79" s="197"/>
      <c r="U79" s="197"/>
      <c r="V79" s="197"/>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row>
    <row r="80" spans="1:57" s="22" customFormat="1" x14ac:dyDescent="0.25">
      <c r="A80" s="202"/>
      <c r="B80" s="36" t="s">
        <v>96</v>
      </c>
      <c r="C80" s="24" t="s">
        <v>160</v>
      </c>
      <c r="D80" s="197"/>
      <c r="E80" s="197"/>
      <c r="F80" s="197"/>
      <c r="G80" s="197"/>
      <c r="H80" s="197"/>
      <c r="I80" s="197"/>
      <c r="J80" s="197"/>
      <c r="K80" s="197"/>
      <c r="L80" s="197"/>
      <c r="M80" s="197"/>
      <c r="N80" s="197"/>
      <c r="O80" s="197"/>
      <c r="P80" s="197"/>
      <c r="Q80" s="197"/>
      <c r="R80" s="197"/>
      <c r="S80" s="197"/>
      <c r="T80" s="197"/>
      <c r="U80" s="197"/>
      <c r="V80" s="197"/>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row>
    <row r="81" spans="1:57" s="22" customFormat="1" x14ac:dyDescent="0.25">
      <c r="A81" s="202"/>
      <c r="B81" s="36" t="s">
        <v>97</v>
      </c>
      <c r="C81" s="24" t="s">
        <v>161</v>
      </c>
      <c r="D81" s="197"/>
      <c r="E81" s="197"/>
      <c r="F81" s="197"/>
      <c r="G81" s="197"/>
      <c r="H81" s="197"/>
      <c r="I81" s="197"/>
      <c r="J81" s="197"/>
      <c r="K81" s="197"/>
      <c r="L81" s="197"/>
      <c r="M81" s="197"/>
      <c r="N81" s="197"/>
      <c r="O81" s="197"/>
      <c r="P81" s="197"/>
      <c r="Q81" s="197"/>
      <c r="R81" s="197"/>
      <c r="S81" s="197"/>
      <c r="T81" s="197"/>
      <c r="U81" s="197"/>
      <c r="V81" s="197"/>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row>
    <row r="82" spans="1:57" s="22" customFormat="1" x14ac:dyDescent="0.25">
      <c r="A82" s="202"/>
      <c r="B82" s="36" t="s">
        <v>98</v>
      </c>
      <c r="C82" s="24" t="s">
        <v>162</v>
      </c>
      <c r="D82" s="197"/>
      <c r="E82" s="197"/>
      <c r="F82" s="197"/>
      <c r="G82" s="197"/>
      <c r="H82" s="197"/>
      <c r="I82" s="197"/>
      <c r="J82" s="197"/>
      <c r="K82" s="197"/>
      <c r="L82" s="197"/>
      <c r="M82" s="197"/>
      <c r="N82" s="197"/>
      <c r="O82" s="197"/>
      <c r="P82" s="197"/>
      <c r="Q82" s="197"/>
      <c r="R82" s="197"/>
      <c r="S82" s="197"/>
      <c r="T82" s="197"/>
      <c r="U82" s="197"/>
      <c r="V82" s="197"/>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row>
    <row r="83" spans="1:57" s="22" customFormat="1" x14ac:dyDescent="0.25">
      <c r="A83" s="202"/>
      <c r="B83" s="36" t="s">
        <v>99</v>
      </c>
      <c r="C83" s="24" t="s">
        <v>163</v>
      </c>
      <c r="D83" s="197"/>
      <c r="E83" s="197"/>
      <c r="F83" s="197"/>
      <c r="G83" s="197"/>
      <c r="H83" s="197"/>
      <c r="I83" s="197"/>
      <c r="J83" s="197"/>
      <c r="K83" s="197"/>
      <c r="L83" s="197"/>
      <c r="M83" s="197"/>
      <c r="N83" s="197"/>
      <c r="O83" s="197"/>
      <c r="P83" s="197"/>
      <c r="Q83" s="197"/>
      <c r="R83" s="197"/>
      <c r="S83" s="197"/>
      <c r="T83" s="197"/>
      <c r="U83" s="197"/>
      <c r="V83" s="197"/>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row>
    <row r="84" spans="1:57" s="22" customFormat="1" x14ac:dyDescent="0.25">
      <c r="A84" s="202"/>
      <c r="B84" s="36" t="s">
        <v>100</v>
      </c>
      <c r="C84" s="24" t="s">
        <v>164</v>
      </c>
      <c r="D84" s="197"/>
      <c r="E84" s="197"/>
      <c r="F84" s="197"/>
      <c r="G84" s="197"/>
      <c r="H84" s="197"/>
      <c r="I84" s="197"/>
      <c r="J84" s="197"/>
      <c r="K84" s="197"/>
      <c r="L84" s="197"/>
      <c r="M84" s="197"/>
      <c r="N84" s="197"/>
      <c r="O84" s="197"/>
      <c r="P84" s="197"/>
      <c r="Q84" s="197"/>
      <c r="R84" s="197"/>
      <c r="S84" s="197"/>
      <c r="T84" s="197"/>
      <c r="U84" s="197"/>
      <c r="V84" s="197"/>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row>
    <row r="85" spans="1:57" s="22" customFormat="1" x14ac:dyDescent="0.25">
      <c r="A85" s="202"/>
      <c r="B85" s="35" t="s">
        <v>111</v>
      </c>
      <c r="C85" s="21" t="s">
        <v>165</v>
      </c>
      <c r="D85" s="160">
        <f t="shared" ref="D85:U85" si="48">SUM(D86:D98)</f>
        <v>0</v>
      </c>
      <c r="E85" s="160">
        <f t="shared" si="48"/>
        <v>0</v>
      </c>
      <c r="F85" s="160">
        <f t="shared" si="48"/>
        <v>0</v>
      </c>
      <c r="G85" s="160">
        <f t="shared" si="48"/>
        <v>0</v>
      </c>
      <c r="H85" s="160">
        <f t="shared" si="48"/>
        <v>0</v>
      </c>
      <c r="I85" s="160">
        <f t="shared" si="48"/>
        <v>0</v>
      </c>
      <c r="J85" s="160">
        <f t="shared" si="48"/>
        <v>0</v>
      </c>
      <c r="K85" s="160">
        <f t="shared" si="48"/>
        <v>0</v>
      </c>
      <c r="L85" s="160">
        <f t="shared" si="48"/>
        <v>0</v>
      </c>
      <c r="M85" s="160">
        <f t="shared" si="48"/>
        <v>0</v>
      </c>
      <c r="N85" s="160">
        <f t="shared" si="48"/>
        <v>0</v>
      </c>
      <c r="O85" s="160">
        <f t="shared" si="48"/>
        <v>0</v>
      </c>
      <c r="P85" s="160">
        <f t="shared" si="48"/>
        <v>0</v>
      </c>
      <c r="Q85" s="160">
        <f t="shared" si="48"/>
        <v>0</v>
      </c>
      <c r="R85" s="160">
        <f t="shared" si="48"/>
        <v>0</v>
      </c>
      <c r="S85" s="160">
        <f t="shared" si="48"/>
        <v>0</v>
      </c>
      <c r="T85" s="160">
        <f t="shared" si="48"/>
        <v>0</v>
      </c>
      <c r="U85" s="160">
        <f t="shared" si="48"/>
        <v>0</v>
      </c>
      <c r="V85" s="160">
        <f t="shared" ref="V85" si="49">SUM(V86:V98)</f>
        <v>0</v>
      </c>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row>
    <row r="86" spans="1:57" s="22" customFormat="1" x14ac:dyDescent="0.25">
      <c r="A86" s="202"/>
      <c r="B86" s="36" t="s">
        <v>101</v>
      </c>
      <c r="C86" s="39" t="s">
        <v>166</v>
      </c>
      <c r="D86" s="197" t="s">
        <v>268</v>
      </c>
      <c r="E86" s="197"/>
      <c r="F86" s="197"/>
      <c r="G86" s="197"/>
      <c r="H86" s="197"/>
      <c r="I86" s="197"/>
      <c r="J86" s="197"/>
      <c r="K86" s="197"/>
      <c r="L86" s="197"/>
      <c r="M86" s="197"/>
      <c r="N86" s="197"/>
      <c r="O86" s="197"/>
      <c r="P86" s="197"/>
      <c r="Q86" s="197"/>
      <c r="R86" s="197"/>
      <c r="S86" s="197"/>
      <c r="T86" s="197"/>
      <c r="U86" s="197"/>
      <c r="V86" s="197"/>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row>
    <row r="87" spans="1:57" s="22" customFormat="1" x14ac:dyDescent="0.25">
      <c r="A87" s="202"/>
      <c r="B87" s="36" t="s">
        <v>61</v>
      </c>
      <c r="C87" s="24" t="s">
        <v>167</v>
      </c>
      <c r="D87" s="197"/>
      <c r="E87" s="197"/>
      <c r="F87" s="197"/>
      <c r="G87" s="197"/>
      <c r="H87" s="197"/>
      <c r="I87" s="197"/>
      <c r="J87" s="197"/>
      <c r="K87" s="197"/>
      <c r="L87" s="197"/>
      <c r="M87" s="197"/>
      <c r="N87" s="197"/>
      <c r="O87" s="197"/>
      <c r="P87" s="197"/>
      <c r="Q87" s="197"/>
      <c r="R87" s="197"/>
      <c r="S87" s="197"/>
      <c r="T87" s="197"/>
      <c r="U87" s="197"/>
      <c r="V87" s="197"/>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row>
    <row r="88" spans="1:57" s="22" customFormat="1" x14ac:dyDescent="0.25">
      <c r="A88" s="202"/>
      <c r="B88" s="36" t="s">
        <v>62</v>
      </c>
      <c r="C88" s="24" t="s">
        <v>168</v>
      </c>
      <c r="D88" s="197"/>
      <c r="E88" s="197"/>
      <c r="F88" s="197"/>
      <c r="G88" s="197"/>
      <c r="H88" s="197"/>
      <c r="I88" s="197"/>
      <c r="J88" s="197"/>
      <c r="K88" s="197"/>
      <c r="L88" s="197"/>
      <c r="M88" s="197"/>
      <c r="N88" s="197"/>
      <c r="O88" s="197"/>
      <c r="P88" s="197"/>
      <c r="Q88" s="197"/>
      <c r="R88" s="197"/>
      <c r="S88" s="197"/>
      <c r="T88" s="197"/>
      <c r="U88" s="197"/>
      <c r="V88" s="197"/>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row>
    <row r="89" spans="1:57" s="22" customFormat="1" x14ac:dyDescent="0.25">
      <c r="A89" s="202"/>
      <c r="B89" s="36" t="s">
        <v>63</v>
      </c>
      <c r="C89" s="24" t="s">
        <v>169</v>
      </c>
      <c r="D89" s="197"/>
      <c r="E89" s="197"/>
      <c r="F89" s="197"/>
      <c r="G89" s="197"/>
      <c r="H89" s="197"/>
      <c r="I89" s="197"/>
      <c r="J89" s="197"/>
      <c r="K89" s="197"/>
      <c r="L89" s="197"/>
      <c r="M89" s="197"/>
      <c r="N89" s="197"/>
      <c r="O89" s="197"/>
      <c r="P89" s="197"/>
      <c r="Q89" s="197"/>
      <c r="R89" s="197"/>
      <c r="S89" s="197"/>
      <c r="T89" s="197"/>
      <c r="U89" s="197"/>
      <c r="V89" s="197"/>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row>
    <row r="90" spans="1:57" s="22" customFormat="1" x14ac:dyDescent="0.25">
      <c r="A90" s="202"/>
      <c r="B90" s="36" t="s">
        <v>102</v>
      </c>
      <c r="C90" s="39" t="s">
        <v>170</v>
      </c>
      <c r="D90" s="197"/>
      <c r="E90" s="197"/>
      <c r="F90" s="197"/>
      <c r="G90" s="197"/>
      <c r="H90" s="197"/>
      <c r="I90" s="197"/>
      <c r="J90" s="197"/>
      <c r="K90" s="197"/>
      <c r="L90" s="197"/>
      <c r="M90" s="197"/>
      <c r="N90" s="197"/>
      <c r="O90" s="197"/>
      <c r="P90" s="197"/>
      <c r="Q90" s="197"/>
      <c r="R90" s="197"/>
      <c r="S90" s="197"/>
      <c r="T90" s="197"/>
      <c r="U90" s="197"/>
      <c r="V90" s="197"/>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row>
    <row r="91" spans="1:57" s="22" customFormat="1" x14ac:dyDescent="0.25">
      <c r="A91" s="202"/>
      <c r="B91" s="36" t="s">
        <v>64</v>
      </c>
      <c r="C91" s="24" t="s">
        <v>171</v>
      </c>
      <c r="D91" s="197"/>
      <c r="E91" s="197"/>
      <c r="F91" s="197"/>
      <c r="G91" s="197"/>
      <c r="H91" s="197"/>
      <c r="I91" s="197"/>
      <c r="J91" s="197"/>
      <c r="K91" s="197"/>
      <c r="L91" s="197"/>
      <c r="M91" s="197"/>
      <c r="N91" s="197"/>
      <c r="O91" s="197"/>
      <c r="P91" s="197"/>
      <c r="Q91" s="197"/>
      <c r="R91" s="197"/>
      <c r="S91" s="197"/>
      <c r="T91" s="197"/>
      <c r="U91" s="197"/>
      <c r="V91" s="197"/>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row>
    <row r="92" spans="1:57" s="22" customFormat="1" x14ac:dyDescent="0.25">
      <c r="A92" s="202"/>
      <c r="B92" s="36" t="s">
        <v>65</v>
      </c>
      <c r="C92" s="24" t="s">
        <v>172</v>
      </c>
      <c r="D92" s="197"/>
      <c r="E92" s="197"/>
      <c r="F92" s="197"/>
      <c r="G92" s="197"/>
      <c r="H92" s="197"/>
      <c r="I92" s="197"/>
      <c r="J92" s="197"/>
      <c r="K92" s="197"/>
      <c r="L92" s="197"/>
      <c r="M92" s="197"/>
      <c r="N92" s="197"/>
      <c r="O92" s="197"/>
      <c r="P92" s="197"/>
      <c r="Q92" s="197"/>
      <c r="R92" s="197"/>
      <c r="S92" s="197"/>
      <c r="T92" s="197"/>
      <c r="U92" s="197"/>
      <c r="V92" s="197"/>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row>
    <row r="93" spans="1:57" s="22" customFormat="1" x14ac:dyDescent="0.25">
      <c r="A93" s="202"/>
      <c r="B93" s="36" t="s">
        <v>66</v>
      </c>
      <c r="C93" s="24" t="s">
        <v>117</v>
      </c>
      <c r="D93" s="197"/>
      <c r="E93" s="197"/>
      <c r="F93" s="197"/>
      <c r="G93" s="197"/>
      <c r="H93" s="197"/>
      <c r="I93" s="197"/>
      <c r="J93" s="197"/>
      <c r="K93" s="197"/>
      <c r="L93" s="197"/>
      <c r="M93" s="197"/>
      <c r="N93" s="197"/>
      <c r="O93" s="197"/>
      <c r="P93" s="197"/>
      <c r="Q93" s="197"/>
      <c r="R93" s="197"/>
      <c r="S93" s="197"/>
      <c r="T93" s="197"/>
      <c r="U93" s="197"/>
      <c r="V93" s="197"/>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row>
    <row r="94" spans="1:57" s="22" customFormat="1" x14ac:dyDescent="0.25">
      <c r="A94" s="202"/>
      <c r="B94" s="36" t="s">
        <v>103</v>
      </c>
      <c r="C94" s="39" t="s">
        <v>173</v>
      </c>
      <c r="D94" s="197"/>
      <c r="E94" s="197"/>
      <c r="F94" s="197"/>
      <c r="G94" s="197"/>
      <c r="H94" s="197"/>
      <c r="I94" s="197"/>
      <c r="J94" s="197"/>
      <c r="K94" s="197"/>
      <c r="L94" s="197"/>
      <c r="M94" s="197"/>
      <c r="N94" s="197"/>
      <c r="O94" s="197"/>
      <c r="P94" s="197"/>
      <c r="Q94" s="197"/>
      <c r="R94" s="197"/>
      <c r="S94" s="197"/>
      <c r="T94" s="197"/>
      <c r="U94" s="197"/>
      <c r="V94" s="197"/>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row>
    <row r="95" spans="1:57" s="22" customFormat="1" x14ac:dyDescent="0.25">
      <c r="A95" s="202"/>
      <c r="B95" s="36" t="s">
        <v>67</v>
      </c>
      <c r="C95" s="24" t="s">
        <v>174</v>
      </c>
      <c r="D95" s="197"/>
      <c r="E95" s="197"/>
      <c r="F95" s="197"/>
      <c r="G95" s="197"/>
      <c r="H95" s="197"/>
      <c r="I95" s="197"/>
      <c r="J95" s="197"/>
      <c r="K95" s="197"/>
      <c r="L95" s="197"/>
      <c r="M95" s="197"/>
      <c r="N95" s="197"/>
      <c r="O95" s="197"/>
      <c r="P95" s="197"/>
      <c r="Q95" s="197"/>
      <c r="R95" s="197"/>
      <c r="S95" s="197"/>
      <c r="T95" s="197"/>
      <c r="U95" s="197"/>
      <c r="V95" s="197"/>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row>
    <row r="96" spans="1:57" s="22" customFormat="1" x14ac:dyDescent="0.25">
      <c r="A96" s="202"/>
      <c r="B96" s="36" t="s">
        <v>68</v>
      </c>
      <c r="C96" s="24" t="s">
        <v>175</v>
      </c>
      <c r="D96" s="197"/>
      <c r="E96" s="197"/>
      <c r="F96" s="197"/>
      <c r="G96" s="197"/>
      <c r="H96" s="197"/>
      <c r="I96" s="197"/>
      <c r="J96" s="197"/>
      <c r="K96" s="197"/>
      <c r="L96" s="197"/>
      <c r="M96" s="197"/>
      <c r="N96" s="197"/>
      <c r="O96" s="197"/>
      <c r="P96" s="197"/>
      <c r="Q96" s="197"/>
      <c r="R96" s="197"/>
      <c r="S96" s="197"/>
      <c r="T96" s="197"/>
      <c r="U96" s="197"/>
      <c r="V96" s="197"/>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row>
    <row r="97" spans="1:57" s="22" customFormat="1" x14ac:dyDescent="0.25">
      <c r="A97" s="202"/>
      <c r="B97" s="36" t="s">
        <v>69</v>
      </c>
      <c r="C97" s="24" t="s">
        <v>117</v>
      </c>
      <c r="D97" s="197"/>
      <c r="E97" s="197"/>
      <c r="F97" s="197"/>
      <c r="G97" s="197"/>
      <c r="H97" s="197"/>
      <c r="I97" s="197"/>
      <c r="J97" s="197"/>
      <c r="K97" s="197"/>
      <c r="L97" s="197"/>
      <c r="M97" s="197"/>
      <c r="N97" s="197"/>
      <c r="O97" s="197"/>
      <c r="P97" s="197"/>
      <c r="Q97" s="197"/>
      <c r="R97" s="197"/>
      <c r="S97" s="197"/>
      <c r="T97" s="197"/>
      <c r="U97" s="197"/>
      <c r="V97" s="197"/>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row>
    <row r="98" spans="1:57" s="22" customFormat="1" x14ac:dyDescent="0.25">
      <c r="A98" s="202"/>
      <c r="B98" s="36" t="s">
        <v>104</v>
      </c>
      <c r="C98" s="24" t="s">
        <v>117</v>
      </c>
      <c r="D98" s="197"/>
      <c r="E98" s="197"/>
      <c r="F98" s="197"/>
      <c r="G98" s="197"/>
      <c r="H98" s="197"/>
      <c r="I98" s="197"/>
      <c r="J98" s="197"/>
      <c r="K98" s="197"/>
      <c r="L98" s="197"/>
      <c r="M98" s="197"/>
      <c r="N98" s="197"/>
      <c r="O98" s="197"/>
      <c r="P98" s="197"/>
      <c r="Q98" s="197"/>
      <c r="R98" s="197"/>
      <c r="S98" s="197"/>
      <c r="T98" s="197"/>
      <c r="U98" s="197"/>
      <c r="V98" s="197"/>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row>
    <row r="99" spans="1:57" s="22" customFormat="1" x14ac:dyDescent="0.25">
      <c r="A99" s="202"/>
      <c r="B99" s="35" t="s">
        <v>112</v>
      </c>
      <c r="C99" s="21" t="s">
        <v>117</v>
      </c>
      <c r="D99" s="160">
        <f t="shared" ref="D99:U99" si="50">SUM(D100:D102)</f>
        <v>0</v>
      </c>
      <c r="E99" s="160">
        <f t="shared" si="50"/>
        <v>0</v>
      </c>
      <c r="F99" s="160">
        <f t="shared" si="50"/>
        <v>0</v>
      </c>
      <c r="G99" s="160">
        <f t="shared" si="50"/>
        <v>0</v>
      </c>
      <c r="H99" s="160">
        <f t="shared" si="50"/>
        <v>0</v>
      </c>
      <c r="I99" s="160">
        <f t="shared" si="50"/>
        <v>0</v>
      </c>
      <c r="J99" s="160">
        <f t="shared" si="50"/>
        <v>0</v>
      </c>
      <c r="K99" s="160">
        <f t="shared" si="50"/>
        <v>0</v>
      </c>
      <c r="L99" s="160">
        <f t="shared" si="50"/>
        <v>0</v>
      </c>
      <c r="M99" s="160">
        <f t="shared" si="50"/>
        <v>0</v>
      </c>
      <c r="N99" s="160">
        <f t="shared" si="50"/>
        <v>0</v>
      </c>
      <c r="O99" s="160">
        <f t="shared" si="50"/>
        <v>0</v>
      </c>
      <c r="P99" s="160">
        <f t="shared" si="50"/>
        <v>0</v>
      </c>
      <c r="Q99" s="160">
        <f t="shared" si="50"/>
        <v>0</v>
      </c>
      <c r="R99" s="160">
        <f t="shared" si="50"/>
        <v>0</v>
      </c>
      <c r="S99" s="160">
        <f t="shared" si="50"/>
        <v>0</v>
      </c>
      <c r="T99" s="160">
        <f t="shared" si="50"/>
        <v>0</v>
      </c>
      <c r="U99" s="160">
        <f t="shared" si="50"/>
        <v>0</v>
      </c>
      <c r="V99" s="160">
        <f t="shared" ref="V99" si="51">SUM(V100:V102)</f>
        <v>0</v>
      </c>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row>
    <row r="100" spans="1:57" s="22" customFormat="1" x14ac:dyDescent="0.25">
      <c r="A100" s="202"/>
      <c r="B100" s="36" t="s">
        <v>70</v>
      </c>
      <c r="C100" s="24" t="s">
        <v>176</v>
      </c>
      <c r="D100" s="197" t="s">
        <v>268</v>
      </c>
      <c r="E100" s="197"/>
      <c r="F100" s="197"/>
      <c r="G100" s="197"/>
      <c r="H100" s="197"/>
      <c r="I100" s="197"/>
      <c r="J100" s="197"/>
      <c r="K100" s="197"/>
      <c r="L100" s="197"/>
      <c r="M100" s="197"/>
      <c r="N100" s="197"/>
      <c r="O100" s="197"/>
      <c r="P100" s="197"/>
      <c r="Q100" s="197"/>
      <c r="R100" s="197"/>
      <c r="S100" s="197"/>
      <c r="T100" s="197"/>
      <c r="U100" s="197"/>
      <c r="V100" s="197"/>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row>
    <row r="101" spans="1:57" s="22" customFormat="1" x14ac:dyDescent="0.25">
      <c r="A101" s="202"/>
      <c r="B101" s="36" t="s">
        <v>71</v>
      </c>
      <c r="C101" s="24" t="s">
        <v>177</v>
      </c>
      <c r="D101" s="197"/>
      <c r="E101" s="197"/>
      <c r="F101" s="197"/>
      <c r="G101" s="197"/>
      <c r="H101" s="197"/>
      <c r="I101" s="197"/>
      <c r="J101" s="197"/>
      <c r="K101" s="197"/>
      <c r="L101" s="197"/>
      <c r="M101" s="197"/>
      <c r="N101" s="197"/>
      <c r="O101" s="197"/>
      <c r="P101" s="197"/>
      <c r="Q101" s="197"/>
      <c r="R101" s="197"/>
      <c r="S101" s="197"/>
      <c r="T101" s="197"/>
      <c r="U101" s="197"/>
      <c r="V101" s="197"/>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row>
    <row r="102" spans="1:57" s="22" customFormat="1" x14ac:dyDescent="0.25">
      <c r="A102" s="202"/>
      <c r="B102" s="36" t="s">
        <v>72</v>
      </c>
      <c r="C102" s="24" t="s">
        <v>117</v>
      </c>
      <c r="D102" s="197"/>
      <c r="E102" s="197"/>
      <c r="F102" s="197"/>
      <c r="G102" s="197"/>
      <c r="H102" s="197"/>
      <c r="I102" s="197"/>
      <c r="J102" s="197"/>
      <c r="K102" s="197"/>
      <c r="L102" s="197"/>
      <c r="M102" s="197"/>
      <c r="N102" s="197"/>
      <c r="O102" s="197"/>
      <c r="P102" s="197"/>
      <c r="Q102" s="197"/>
      <c r="R102" s="197"/>
      <c r="S102" s="197"/>
      <c r="T102" s="197"/>
      <c r="U102" s="197"/>
      <c r="V102" s="197"/>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row>
    <row r="103" spans="1:57" ht="17.100000000000001" customHeight="1" x14ac:dyDescent="0.25">
      <c r="A103" s="113"/>
      <c r="B103" s="201" t="s">
        <v>189</v>
      </c>
      <c r="C103" s="201"/>
      <c r="D103" s="162">
        <f t="shared" ref="D103:M103" si="52">SUM(D5+D11+D28+D38+D57+D65+D70+D76+D85+D99)</f>
        <v>318817.99227193306</v>
      </c>
      <c r="E103" s="162">
        <f t="shared" si="52"/>
        <v>303623.98701182305</v>
      </c>
      <c r="F103" s="162">
        <f t="shared" si="52"/>
        <v>333706.43903660052</v>
      </c>
      <c r="G103" s="162">
        <f t="shared" si="52"/>
        <v>416776.79160594253</v>
      </c>
      <c r="H103" s="162">
        <f t="shared" si="52"/>
        <v>418250.48458980478</v>
      </c>
      <c r="I103" s="162">
        <f t="shared" si="52"/>
        <v>501737.31199601357</v>
      </c>
      <c r="J103" s="162">
        <f t="shared" si="52"/>
        <v>529731.07760970632</v>
      </c>
      <c r="K103" s="162">
        <f t="shared" si="52"/>
        <v>566765.64805083512</v>
      </c>
      <c r="L103" s="162">
        <f t="shared" si="52"/>
        <v>614201.96700638707</v>
      </c>
      <c r="M103" s="162">
        <f t="shared" si="52"/>
        <v>648295.46441334439</v>
      </c>
      <c r="N103" s="162">
        <f t="shared" ref="N103:U103" si="53">SUM(N5+N11+N28+N38+N57+N65+N70+N76+N85+N99)</f>
        <v>315.4412719569055</v>
      </c>
      <c r="O103" s="162">
        <f t="shared" si="53"/>
        <v>310.88589586801737</v>
      </c>
      <c r="P103" s="162">
        <f t="shared" si="53"/>
        <v>354.87203832893607</v>
      </c>
      <c r="Q103" s="162">
        <f t="shared" si="53"/>
        <v>416.80874485190816</v>
      </c>
      <c r="R103" s="162">
        <f t="shared" si="53"/>
        <v>439.20629499135703</v>
      </c>
      <c r="S103" s="162">
        <f t="shared" si="53"/>
        <v>509.43920234943687</v>
      </c>
      <c r="T103" s="162">
        <f t="shared" si="53"/>
        <v>538.94607821998852</v>
      </c>
      <c r="U103" s="162">
        <f t="shared" si="53"/>
        <v>578.73098428972298</v>
      </c>
      <c r="V103" s="162">
        <f t="shared" ref="V103" si="54">SUM(V5+V11+V28+V38+V57+V65+V70+V76+V85+V99)</f>
        <v>622.5749828581263</v>
      </c>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row>
    <row r="104" spans="1:57" x14ac:dyDescent="0.25">
      <c r="A104" s="9"/>
      <c r="B104" s="9"/>
      <c r="C104" s="43"/>
      <c r="D104" s="43"/>
      <c r="E104" s="43"/>
      <c r="F104" s="44"/>
      <c r="G104" s="44"/>
      <c r="H104" s="44"/>
      <c r="I104" s="44"/>
      <c r="J104" s="44"/>
      <c r="K104" s="44"/>
      <c r="L104" s="44"/>
      <c r="M104" s="44"/>
      <c r="N104" s="44"/>
      <c r="O104" s="44"/>
      <c r="P104" s="44"/>
      <c r="Q104" s="44"/>
      <c r="R104" s="44"/>
      <c r="S104" s="44"/>
      <c r="T104" s="44"/>
      <c r="U104" s="44"/>
      <c r="V104" s="44"/>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row>
    <row r="105" spans="1:57" x14ac:dyDescent="0.25">
      <c r="A105" s="9"/>
      <c r="B105" s="45"/>
      <c r="C105" s="45"/>
      <c r="D105" s="45"/>
      <c r="E105" s="45"/>
      <c r="F105" s="46"/>
      <c r="G105" s="46"/>
      <c r="H105" s="46"/>
      <c r="I105" s="46"/>
      <c r="J105" s="46"/>
      <c r="K105" s="46"/>
      <c r="L105" s="46"/>
      <c r="M105" s="46"/>
      <c r="N105" s="46"/>
      <c r="O105" s="46"/>
      <c r="P105" s="47"/>
      <c r="Q105" s="47"/>
      <c r="R105" s="47"/>
      <c r="S105" s="47"/>
      <c r="T105" s="47"/>
      <c r="U105" s="47"/>
      <c r="V105" s="47"/>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row>
    <row r="106" spans="1:57" x14ac:dyDescent="0.25">
      <c r="A106" s="9"/>
      <c r="B106" s="45"/>
      <c r="C106" s="45"/>
      <c r="D106" s="45"/>
      <c r="E106" s="45"/>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row>
    <row r="107" spans="1:57" x14ac:dyDescent="0.25">
      <c r="A107" s="9"/>
      <c r="B107" s="48"/>
      <c r="C107" s="49"/>
      <c r="D107" s="49"/>
      <c r="E107" s="49"/>
      <c r="F107" s="48"/>
      <c r="G107" s="48"/>
      <c r="H107" s="48"/>
      <c r="I107" s="48"/>
      <c r="J107" s="48"/>
      <c r="K107" s="48"/>
      <c r="L107" s="48"/>
      <c r="M107" s="48"/>
      <c r="N107" s="48"/>
      <c r="O107" s="48"/>
      <c r="P107" s="48"/>
      <c r="Q107" s="48"/>
      <c r="R107" s="48"/>
      <c r="S107" s="48"/>
      <c r="T107" s="48"/>
      <c r="U107" s="48"/>
      <c r="V107" s="48"/>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row>
    <row r="108" spans="1:57" ht="15" customHeight="1" x14ac:dyDescent="0.25">
      <c r="A108" s="9"/>
      <c r="B108" s="48"/>
      <c r="C108" s="49"/>
      <c r="D108" s="49"/>
      <c r="E108" s="49"/>
      <c r="F108" s="48"/>
      <c r="G108" s="48"/>
      <c r="H108" s="48"/>
      <c r="I108" s="48"/>
      <c r="J108" s="48"/>
      <c r="K108" s="48"/>
      <c r="L108" s="48"/>
      <c r="M108" s="48"/>
      <c r="N108" s="48"/>
      <c r="O108" s="48"/>
      <c r="P108" s="48"/>
      <c r="Q108" s="48"/>
      <c r="R108" s="48"/>
      <c r="S108" s="48"/>
      <c r="T108" s="48"/>
      <c r="U108" s="48"/>
      <c r="V108" s="48"/>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row>
    <row r="109" spans="1:57" x14ac:dyDescent="0.25">
      <c r="A109" s="9"/>
      <c r="B109" s="48"/>
      <c r="C109" s="49"/>
      <c r="D109" s="49"/>
      <c r="E109" s="49"/>
      <c r="F109" s="48"/>
      <c r="G109" s="48"/>
      <c r="H109" s="48"/>
      <c r="I109" s="48"/>
      <c r="J109" s="48"/>
      <c r="K109" s="48"/>
      <c r="L109" s="48"/>
      <c r="M109" s="48"/>
      <c r="N109" s="48"/>
      <c r="O109" s="48"/>
      <c r="P109" s="48"/>
      <c r="Q109" s="48"/>
      <c r="R109" s="48"/>
      <c r="S109" s="48"/>
      <c r="T109" s="48"/>
      <c r="U109" s="48"/>
      <c r="V109" s="48"/>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row>
    <row r="110" spans="1:57" x14ac:dyDescent="0.25">
      <c r="A110" s="9"/>
      <c r="B110" s="48"/>
      <c r="C110" s="49"/>
      <c r="D110" s="49"/>
      <c r="E110" s="49"/>
      <c r="F110" s="48"/>
      <c r="G110" s="48"/>
      <c r="H110" s="48"/>
      <c r="I110" s="48"/>
      <c r="J110" s="48"/>
      <c r="K110" s="48"/>
      <c r="L110" s="48"/>
      <c r="M110" s="48"/>
      <c r="N110" s="48"/>
      <c r="O110" s="48"/>
      <c r="P110" s="48"/>
      <c r="Q110" s="48"/>
      <c r="R110" s="48"/>
      <c r="S110" s="48"/>
      <c r="T110" s="48"/>
      <c r="U110" s="48"/>
      <c r="V110" s="48"/>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row>
    <row r="111" spans="1:57" x14ac:dyDescent="0.25">
      <c r="A111" s="9"/>
      <c r="B111" s="48"/>
      <c r="C111" s="49"/>
      <c r="D111" s="49"/>
      <c r="E111" s="49"/>
      <c r="F111" s="48"/>
      <c r="G111" s="48"/>
      <c r="H111" s="48"/>
      <c r="I111" s="48"/>
      <c r="J111" s="48"/>
      <c r="K111" s="48"/>
      <c r="L111" s="48"/>
      <c r="M111" s="48"/>
      <c r="N111" s="48"/>
      <c r="O111" s="48"/>
      <c r="P111" s="48"/>
      <c r="Q111" s="48"/>
      <c r="R111" s="48"/>
      <c r="S111" s="48"/>
      <c r="T111" s="48"/>
      <c r="U111" s="48"/>
      <c r="V111" s="48"/>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row>
    <row r="112" spans="1:57" x14ac:dyDescent="0.25">
      <c r="A112" s="9"/>
      <c r="B112" s="48"/>
      <c r="C112" s="49"/>
      <c r="D112" s="49"/>
      <c r="E112" s="49"/>
      <c r="F112" s="48"/>
      <c r="G112" s="48"/>
      <c r="H112" s="48"/>
      <c r="I112" s="48"/>
      <c r="J112" s="48"/>
      <c r="K112" s="48"/>
      <c r="L112" s="48"/>
      <c r="M112" s="48"/>
      <c r="N112" s="48"/>
      <c r="O112" s="48"/>
      <c r="P112" s="48"/>
      <c r="Q112" s="48"/>
      <c r="R112" s="48"/>
      <c r="S112" s="48"/>
      <c r="T112" s="48"/>
      <c r="U112" s="48"/>
      <c r="V112" s="48"/>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row>
    <row r="113" spans="1:57" x14ac:dyDescent="0.25">
      <c r="A113" s="9"/>
      <c r="B113" s="48"/>
      <c r="C113" s="49"/>
      <c r="D113" s="49"/>
      <c r="E113" s="49"/>
      <c r="F113" s="48"/>
      <c r="G113" s="48"/>
      <c r="H113" s="48"/>
      <c r="I113" s="48"/>
      <c r="J113" s="48"/>
      <c r="K113" s="48"/>
      <c r="L113" s="48"/>
      <c r="M113" s="48"/>
      <c r="N113" s="48"/>
      <c r="O113" s="48"/>
      <c r="P113" s="48"/>
      <c r="Q113" s="48"/>
      <c r="R113" s="48"/>
      <c r="S113" s="48"/>
      <c r="T113" s="48"/>
      <c r="U113" s="48"/>
      <c r="V113" s="48"/>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row>
    <row r="114" spans="1:57" x14ac:dyDescent="0.25">
      <c r="A114" s="9"/>
      <c r="B114" s="48"/>
      <c r="C114" s="49"/>
      <c r="D114" s="49"/>
      <c r="E114" s="49"/>
      <c r="F114" s="48"/>
      <c r="G114" s="48"/>
      <c r="H114" s="48"/>
      <c r="I114" s="48"/>
      <c r="J114" s="48"/>
      <c r="K114" s="48"/>
      <c r="L114" s="48"/>
      <c r="M114" s="48"/>
      <c r="N114" s="48"/>
      <c r="O114" s="48"/>
      <c r="P114" s="48"/>
      <c r="Q114" s="48"/>
      <c r="R114" s="48"/>
      <c r="S114" s="48"/>
      <c r="T114" s="48"/>
      <c r="U114" s="48"/>
      <c r="V114" s="48"/>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row>
    <row r="115" spans="1:57" x14ac:dyDescent="0.25">
      <c r="A115" s="9"/>
      <c r="B115" s="48"/>
      <c r="C115" s="49"/>
      <c r="D115" s="49"/>
      <c r="E115" s="49"/>
      <c r="F115" s="48"/>
      <c r="G115" s="48"/>
      <c r="H115" s="48"/>
      <c r="I115" s="48"/>
      <c r="J115" s="48"/>
      <c r="K115" s="48"/>
      <c r="L115" s="48"/>
      <c r="M115" s="48"/>
      <c r="N115" s="48"/>
      <c r="O115" s="48"/>
      <c r="P115" s="48"/>
      <c r="Q115" s="48"/>
      <c r="R115" s="48"/>
      <c r="S115" s="48"/>
      <c r="T115" s="48"/>
      <c r="U115" s="48"/>
      <c r="V115" s="48"/>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row>
    <row r="116" spans="1:57" x14ac:dyDescent="0.25">
      <c r="A116" s="9"/>
      <c r="B116" s="48"/>
      <c r="C116" s="49"/>
      <c r="D116" s="49"/>
      <c r="E116" s="49"/>
      <c r="F116" s="48"/>
      <c r="G116" s="48"/>
      <c r="H116" s="48"/>
      <c r="I116" s="48"/>
      <c r="J116" s="48"/>
      <c r="K116" s="48"/>
      <c r="L116" s="48"/>
      <c r="M116" s="48"/>
      <c r="N116" s="48"/>
      <c r="O116" s="48"/>
      <c r="P116" s="48"/>
      <c r="Q116" s="48"/>
      <c r="R116" s="48"/>
      <c r="S116" s="48"/>
      <c r="T116" s="48"/>
      <c r="U116" s="48"/>
      <c r="V116" s="48"/>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row>
    <row r="117" spans="1:57" x14ac:dyDescent="0.25">
      <c r="A117" s="9"/>
      <c r="B117" s="48"/>
      <c r="C117" s="49"/>
      <c r="D117" s="49"/>
      <c r="E117" s="49"/>
      <c r="F117" s="48"/>
      <c r="G117" s="48"/>
      <c r="H117" s="48"/>
      <c r="I117" s="48"/>
      <c r="J117" s="48"/>
      <c r="K117" s="48"/>
      <c r="L117" s="48"/>
      <c r="M117" s="48"/>
      <c r="N117" s="48"/>
      <c r="O117" s="48"/>
      <c r="P117" s="48"/>
      <c r="Q117" s="48"/>
      <c r="R117" s="48"/>
      <c r="S117" s="48"/>
      <c r="T117" s="48"/>
      <c r="U117" s="48"/>
      <c r="V117" s="48"/>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row>
    <row r="118" spans="1:57" x14ac:dyDescent="0.25">
      <c r="A118" s="9"/>
      <c r="B118" s="48"/>
      <c r="C118" s="49"/>
      <c r="D118" s="49"/>
      <c r="E118" s="49"/>
      <c r="F118" s="48"/>
      <c r="G118" s="48"/>
      <c r="H118" s="48"/>
      <c r="I118" s="48"/>
      <c r="J118" s="48"/>
      <c r="K118" s="48"/>
      <c r="L118" s="48"/>
      <c r="M118" s="48"/>
      <c r="N118" s="48"/>
      <c r="O118" s="48"/>
      <c r="P118" s="48"/>
      <c r="Q118" s="48"/>
      <c r="R118" s="48"/>
      <c r="S118" s="48"/>
      <c r="T118" s="48"/>
      <c r="U118" s="48"/>
      <c r="V118" s="48"/>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row>
    <row r="119" spans="1:57" x14ac:dyDescent="0.25">
      <c r="A119" s="9"/>
      <c r="B119" s="48"/>
      <c r="C119" s="49"/>
      <c r="D119" s="49"/>
      <c r="E119" s="49"/>
      <c r="F119" s="48"/>
      <c r="G119" s="48"/>
      <c r="H119" s="48"/>
      <c r="I119" s="48"/>
      <c r="J119" s="48"/>
      <c r="K119" s="48"/>
      <c r="L119" s="48"/>
      <c r="M119" s="48"/>
      <c r="N119" s="48"/>
      <c r="O119" s="48"/>
      <c r="P119" s="48"/>
      <c r="Q119" s="48"/>
      <c r="R119" s="48"/>
      <c r="S119" s="48"/>
      <c r="T119" s="48"/>
      <c r="U119" s="48"/>
      <c r="V119" s="48"/>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row>
    <row r="120" spans="1:57" x14ac:dyDescent="0.25">
      <c r="A120" s="9"/>
      <c r="B120" s="48"/>
      <c r="C120" s="49"/>
      <c r="D120" s="49"/>
      <c r="E120" s="49"/>
      <c r="F120" s="48"/>
      <c r="G120" s="48"/>
      <c r="H120" s="48"/>
      <c r="I120" s="48"/>
      <c r="J120" s="48"/>
      <c r="K120" s="48"/>
      <c r="L120" s="48"/>
      <c r="M120" s="48"/>
      <c r="N120" s="48"/>
      <c r="O120" s="48"/>
      <c r="P120" s="48"/>
      <c r="Q120" s="48"/>
      <c r="R120" s="48"/>
      <c r="S120" s="48"/>
      <c r="T120" s="48"/>
      <c r="U120" s="48"/>
      <c r="V120" s="48"/>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row>
    <row r="121" spans="1:57" x14ac:dyDescent="0.25">
      <c r="A121" s="9"/>
      <c r="B121" s="48"/>
      <c r="C121" s="49"/>
      <c r="D121" s="49"/>
      <c r="E121" s="49"/>
      <c r="F121" s="48"/>
      <c r="G121" s="48"/>
      <c r="H121" s="48"/>
      <c r="I121" s="48"/>
      <c r="J121" s="48"/>
      <c r="K121" s="48"/>
      <c r="L121" s="48"/>
      <c r="M121" s="48"/>
      <c r="N121" s="48"/>
      <c r="O121" s="48"/>
      <c r="P121" s="48"/>
      <c r="Q121" s="48"/>
      <c r="R121" s="48"/>
      <c r="S121" s="48"/>
      <c r="T121" s="48"/>
      <c r="U121" s="48"/>
      <c r="V121" s="48"/>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row>
    <row r="122" spans="1:57" x14ac:dyDescent="0.25">
      <c r="A122" s="9"/>
      <c r="B122" s="48"/>
      <c r="C122" s="49"/>
      <c r="D122" s="49"/>
      <c r="E122" s="49"/>
      <c r="F122" s="48"/>
      <c r="G122" s="48"/>
      <c r="H122" s="48"/>
      <c r="I122" s="48"/>
      <c r="J122" s="48"/>
      <c r="K122" s="48"/>
      <c r="L122" s="48"/>
      <c r="M122" s="48"/>
      <c r="N122" s="48"/>
      <c r="O122" s="48"/>
      <c r="P122" s="48"/>
      <c r="Q122" s="48"/>
      <c r="R122" s="48"/>
      <c r="S122" s="48"/>
      <c r="T122" s="48"/>
      <c r="U122" s="48"/>
      <c r="V122" s="48"/>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row>
    <row r="123" spans="1:57" x14ac:dyDescent="0.25">
      <c r="A123" s="9"/>
      <c r="B123" s="48"/>
      <c r="C123" s="49"/>
      <c r="D123" s="49"/>
      <c r="E123" s="49"/>
      <c r="F123" s="48"/>
      <c r="G123" s="48"/>
      <c r="H123" s="48"/>
      <c r="I123" s="48"/>
      <c r="J123" s="48"/>
      <c r="K123" s="48"/>
      <c r="L123" s="48"/>
      <c r="M123" s="48"/>
      <c r="N123" s="48"/>
      <c r="O123" s="48"/>
      <c r="P123" s="48"/>
      <c r="Q123" s="48"/>
      <c r="R123" s="48"/>
      <c r="S123" s="48"/>
      <c r="T123" s="48"/>
      <c r="U123" s="48"/>
      <c r="V123" s="48"/>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row>
    <row r="124" spans="1:57" x14ac:dyDescent="0.25">
      <c r="A124" s="9"/>
      <c r="B124" s="48"/>
      <c r="C124" s="49"/>
      <c r="D124" s="49"/>
      <c r="E124" s="49"/>
      <c r="F124" s="48"/>
      <c r="G124" s="48"/>
      <c r="H124" s="48"/>
      <c r="I124" s="48"/>
      <c r="J124" s="48"/>
      <c r="K124" s="48"/>
      <c r="L124" s="48"/>
      <c r="M124" s="48"/>
      <c r="N124" s="48"/>
      <c r="O124" s="48"/>
      <c r="P124" s="48"/>
      <c r="Q124" s="48"/>
      <c r="R124" s="48"/>
      <c r="S124" s="48"/>
      <c r="T124" s="48"/>
      <c r="U124" s="48"/>
      <c r="V124" s="48"/>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row>
    <row r="125" spans="1:57" x14ac:dyDescent="0.25">
      <c r="A125" s="9"/>
      <c r="B125" s="48"/>
      <c r="C125" s="49"/>
      <c r="D125" s="49"/>
      <c r="E125" s="49"/>
      <c r="F125" s="48"/>
      <c r="G125" s="48"/>
      <c r="H125" s="48"/>
      <c r="I125" s="48"/>
      <c r="J125" s="48"/>
      <c r="K125" s="48"/>
      <c r="L125" s="48"/>
      <c r="M125" s="48"/>
      <c r="N125" s="48"/>
      <c r="O125" s="48"/>
      <c r="P125" s="48"/>
      <c r="Q125" s="48"/>
      <c r="R125" s="48"/>
      <c r="S125" s="48"/>
      <c r="T125" s="48"/>
      <c r="U125" s="48"/>
      <c r="V125" s="48"/>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row>
    <row r="126" spans="1:57" x14ac:dyDescent="0.25">
      <c r="A126" s="9"/>
      <c r="B126" s="48"/>
      <c r="C126" s="49"/>
      <c r="D126" s="49"/>
      <c r="E126" s="49"/>
      <c r="F126" s="48"/>
      <c r="G126" s="48"/>
      <c r="H126" s="48"/>
      <c r="I126" s="48"/>
      <c r="J126" s="48"/>
      <c r="K126" s="48"/>
      <c r="L126" s="48"/>
      <c r="M126" s="48"/>
      <c r="N126" s="48"/>
      <c r="O126" s="48"/>
      <c r="P126" s="48"/>
      <c r="Q126" s="48"/>
      <c r="R126" s="48"/>
      <c r="S126" s="48"/>
      <c r="T126" s="48"/>
      <c r="U126" s="48"/>
      <c r="V126" s="48"/>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row>
    <row r="127" spans="1:57" x14ac:dyDescent="0.25">
      <c r="A127" s="9"/>
      <c r="B127" s="48"/>
      <c r="C127" s="49"/>
      <c r="D127" s="49"/>
      <c r="E127" s="49"/>
      <c r="F127" s="48"/>
      <c r="G127" s="48"/>
      <c r="H127" s="48"/>
      <c r="I127" s="48"/>
      <c r="J127" s="48"/>
      <c r="K127" s="48"/>
      <c r="L127" s="48"/>
      <c r="M127" s="48"/>
      <c r="N127" s="48"/>
      <c r="O127" s="48"/>
      <c r="P127" s="48"/>
      <c r="Q127" s="48"/>
      <c r="R127" s="48"/>
      <c r="S127" s="48"/>
      <c r="T127" s="48"/>
      <c r="U127" s="48"/>
      <c r="V127" s="48"/>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row>
    <row r="128" spans="1:57" x14ac:dyDescent="0.25">
      <c r="A128" s="9"/>
      <c r="B128" s="48"/>
      <c r="C128" s="49"/>
      <c r="D128" s="49"/>
      <c r="E128" s="49"/>
      <c r="F128" s="48"/>
      <c r="G128" s="50"/>
      <c r="H128" s="48"/>
      <c r="I128" s="48"/>
      <c r="J128" s="50"/>
      <c r="K128" s="48"/>
      <c r="L128" s="48"/>
      <c r="M128" s="48"/>
      <c r="N128" s="48"/>
      <c r="O128" s="48"/>
      <c r="P128" s="48"/>
      <c r="Q128" s="48"/>
      <c r="R128" s="48"/>
      <c r="S128" s="48"/>
      <c r="T128" s="48"/>
      <c r="U128" s="48"/>
      <c r="V128" s="48"/>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row>
    <row r="129" spans="1:57" x14ac:dyDescent="0.25">
      <c r="A129" s="9"/>
      <c r="B129" s="9"/>
      <c r="C129" s="10"/>
      <c r="D129" s="10"/>
      <c r="E129" s="10"/>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row>
    <row r="130" spans="1:57" x14ac:dyDescent="0.25">
      <c r="A130" s="9"/>
      <c r="B130" s="9"/>
      <c r="C130" s="10"/>
      <c r="D130" s="10"/>
      <c r="E130" s="10"/>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row>
    <row r="131" spans="1:57" x14ac:dyDescent="0.25">
      <c r="A131" s="9"/>
      <c r="B131" s="9"/>
      <c r="C131" s="10"/>
      <c r="D131" s="10"/>
      <c r="E131" s="10"/>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row>
    <row r="132" spans="1:57" x14ac:dyDescent="0.25">
      <c r="A132" s="9"/>
      <c r="B132" s="9"/>
      <c r="C132" s="10"/>
      <c r="D132" s="10"/>
      <c r="E132" s="10"/>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row>
    <row r="133" spans="1:57" x14ac:dyDescent="0.25">
      <c r="A133" s="9"/>
      <c r="B133" s="9"/>
      <c r="C133" s="10"/>
      <c r="D133" s="10"/>
      <c r="E133" s="10"/>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row>
    <row r="134" spans="1:57" x14ac:dyDescent="0.25">
      <c r="A134" s="9"/>
      <c r="B134" s="9"/>
      <c r="C134" s="10"/>
      <c r="D134" s="10"/>
      <c r="E134" s="10"/>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row>
    <row r="135" spans="1:57" x14ac:dyDescent="0.25">
      <c r="A135" s="9"/>
      <c r="B135" s="9"/>
      <c r="C135" s="10"/>
      <c r="D135" s="10"/>
      <c r="E135" s="10"/>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row>
    <row r="136" spans="1:57" x14ac:dyDescent="0.25">
      <c r="A136" s="9"/>
      <c r="B136" s="9"/>
      <c r="C136" s="10"/>
      <c r="D136" s="10"/>
      <c r="E136" s="10"/>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row>
    <row r="137" spans="1:57" x14ac:dyDescent="0.25">
      <c r="A137" s="9"/>
      <c r="B137" s="9"/>
      <c r="C137" s="10"/>
      <c r="D137" s="10"/>
      <c r="E137" s="10"/>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row>
    <row r="138" spans="1:57" x14ac:dyDescent="0.25">
      <c r="A138" s="9"/>
      <c r="B138" s="9"/>
      <c r="C138" s="10"/>
      <c r="D138" s="10"/>
      <c r="E138" s="10"/>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row>
    <row r="139" spans="1:57" x14ac:dyDescent="0.25">
      <c r="A139" s="9"/>
      <c r="B139" s="9"/>
      <c r="C139" s="10"/>
      <c r="D139" s="10"/>
      <c r="E139" s="10"/>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row>
    <row r="140" spans="1:57" x14ac:dyDescent="0.25">
      <c r="A140" s="9"/>
      <c r="B140" s="9"/>
      <c r="C140" s="10"/>
      <c r="D140" s="10"/>
      <c r="E140" s="10"/>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row>
    <row r="141" spans="1:57" x14ac:dyDescent="0.25">
      <c r="A141" s="9"/>
      <c r="B141" s="9"/>
      <c r="C141" s="10"/>
      <c r="D141" s="10"/>
      <c r="E141" s="10"/>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row>
    <row r="142" spans="1:57" x14ac:dyDescent="0.25">
      <c r="A142" s="9"/>
      <c r="B142" s="9"/>
      <c r="C142" s="10"/>
      <c r="D142" s="10"/>
      <c r="E142" s="10"/>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row>
    <row r="143" spans="1:57" x14ac:dyDescent="0.25">
      <c r="A143" s="9"/>
      <c r="B143" s="9"/>
      <c r="C143" s="10"/>
      <c r="D143" s="10"/>
      <c r="E143" s="10"/>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row>
    <row r="144" spans="1:57" x14ac:dyDescent="0.25">
      <c r="A144" s="9"/>
      <c r="B144" s="9"/>
      <c r="C144" s="10"/>
      <c r="D144" s="10"/>
      <c r="E144" s="10"/>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row>
    <row r="145" spans="1:57" x14ac:dyDescent="0.25">
      <c r="A145" s="9"/>
      <c r="B145" s="9"/>
      <c r="C145" s="10"/>
      <c r="D145" s="10"/>
      <c r="E145" s="10"/>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row>
    <row r="146" spans="1:57" x14ac:dyDescent="0.25">
      <c r="A146" s="9"/>
      <c r="B146" s="9"/>
      <c r="C146" s="10"/>
      <c r="D146" s="10"/>
      <c r="E146" s="10"/>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row>
    <row r="147" spans="1:57" x14ac:dyDescent="0.25">
      <c r="A147" s="9"/>
      <c r="B147" s="9"/>
      <c r="C147" s="10"/>
      <c r="D147" s="10"/>
      <c r="E147" s="10"/>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row>
    <row r="148" spans="1:57" x14ac:dyDescent="0.25">
      <c r="A148" s="9"/>
      <c r="B148" s="9"/>
      <c r="C148" s="10"/>
      <c r="D148" s="10"/>
      <c r="E148" s="10"/>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row>
    <row r="149" spans="1:57" x14ac:dyDescent="0.25">
      <c r="A149" s="9"/>
      <c r="B149" s="9"/>
      <c r="C149" s="10"/>
      <c r="D149" s="10"/>
      <c r="E149" s="10"/>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row>
    <row r="150" spans="1:57" x14ac:dyDescent="0.25">
      <c r="A150" s="9"/>
      <c r="B150" s="9"/>
      <c r="C150" s="10"/>
      <c r="D150" s="10"/>
      <c r="E150" s="10"/>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row>
    <row r="151" spans="1:57" x14ac:dyDescent="0.25">
      <c r="A151" s="9"/>
      <c r="B151" s="9"/>
      <c r="C151" s="10"/>
      <c r="D151" s="10"/>
      <c r="E151" s="10"/>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row>
    <row r="152" spans="1:57" x14ac:dyDescent="0.25">
      <c r="A152" s="9"/>
      <c r="B152" s="9"/>
      <c r="C152" s="10"/>
      <c r="D152" s="10"/>
      <c r="E152" s="10"/>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row>
    <row r="153" spans="1:57" x14ac:dyDescent="0.25">
      <c r="A153" s="9"/>
      <c r="B153" s="9"/>
      <c r="C153" s="10"/>
      <c r="D153" s="10"/>
      <c r="E153" s="10"/>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row>
    <row r="154" spans="1:57" x14ac:dyDescent="0.25">
      <c r="A154" s="9"/>
      <c r="B154" s="9"/>
      <c r="C154" s="10"/>
      <c r="D154" s="10"/>
      <c r="E154" s="10"/>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row>
    <row r="155" spans="1:57" x14ac:dyDescent="0.25">
      <c r="A155" s="9"/>
      <c r="B155" s="9"/>
      <c r="C155" s="10"/>
      <c r="D155" s="10"/>
      <c r="E155" s="10"/>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row>
    <row r="156" spans="1:57" x14ac:dyDescent="0.25">
      <c r="A156" s="9"/>
      <c r="B156" s="9"/>
      <c r="C156" s="10"/>
      <c r="D156" s="10"/>
      <c r="E156" s="10"/>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row>
    <row r="157" spans="1:57" x14ac:dyDescent="0.25">
      <c r="A157" s="9"/>
      <c r="B157" s="9"/>
      <c r="C157" s="10"/>
      <c r="D157" s="10"/>
      <c r="E157" s="10"/>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row>
    <row r="158" spans="1:57" x14ac:dyDescent="0.25">
      <c r="A158" s="9"/>
      <c r="B158" s="9"/>
      <c r="C158" s="10"/>
      <c r="D158" s="10"/>
      <c r="E158" s="10"/>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row>
    <row r="159" spans="1:57" x14ac:dyDescent="0.25">
      <c r="A159" s="9"/>
      <c r="B159" s="9"/>
      <c r="C159" s="10"/>
      <c r="D159" s="10"/>
      <c r="E159" s="10"/>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row>
    <row r="160" spans="1:57" x14ac:dyDescent="0.25">
      <c r="A160" s="9"/>
      <c r="B160" s="9"/>
      <c r="C160" s="10"/>
      <c r="D160" s="10"/>
      <c r="E160" s="10"/>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row>
    <row r="161" spans="1:57" x14ac:dyDescent="0.25">
      <c r="A161" s="9"/>
      <c r="B161" s="9"/>
      <c r="C161" s="10"/>
      <c r="D161" s="10"/>
      <c r="E161" s="10"/>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row>
    <row r="162" spans="1:57" x14ac:dyDescent="0.25">
      <c r="A162" s="9"/>
      <c r="B162" s="9"/>
      <c r="C162" s="10"/>
      <c r="D162" s="10"/>
      <c r="E162" s="10"/>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row>
    <row r="163" spans="1:57" x14ac:dyDescent="0.25">
      <c r="A163" s="9"/>
      <c r="B163" s="9"/>
      <c r="C163" s="10"/>
      <c r="D163" s="10"/>
      <c r="E163" s="10"/>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row>
    <row r="164" spans="1:57" x14ac:dyDescent="0.25">
      <c r="A164" s="9"/>
      <c r="B164" s="9"/>
      <c r="C164" s="10"/>
      <c r="D164" s="10"/>
      <c r="E164" s="10"/>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row>
    <row r="165" spans="1:57" x14ac:dyDescent="0.25">
      <c r="A165" s="9"/>
      <c r="B165" s="9"/>
      <c r="C165" s="10"/>
      <c r="D165" s="10"/>
      <c r="E165" s="10"/>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row>
    <row r="166" spans="1:57" x14ac:dyDescent="0.25">
      <c r="A166" s="9"/>
      <c r="B166" s="9"/>
      <c r="C166" s="10"/>
      <c r="D166" s="10"/>
      <c r="E166" s="10"/>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row>
    <row r="167" spans="1:57" x14ac:dyDescent="0.25">
      <c r="A167" s="9"/>
      <c r="B167" s="9"/>
      <c r="C167" s="10"/>
      <c r="D167" s="10"/>
      <c r="E167" s="10"/>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row>
    <row r="168" spans="1:57" x14ac:dyDescent="0.25">
      <c r="A168" s="9"/>
      <c r="B168" s="9"/>
      <c r="C168" s="10"/>
      <c r="D168" s="10"/>
      <c r="E168" s="10"/>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row>
    <row r="169" spans="1:57" x14ac:dyDescent="0.25">
      <c r="A169" s="9"/>
      <c r="B169" s="9"/>
      <c r="C169" s="10"/>
      <c r="D169" s="10"/>
      <c r="E169" s="10"/>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row>
    <row r="170" spans="1:57" x14ac:dyDescent="0.25">
      <c r="A170" s="9"/>
      <c r="B170" s="9"/>
      <c r="C170" s="10"/>
      <c r="D170" s="10"/>
      <c r="E170" s="10"/>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row>
    <row r="171" spans="1:57" x14ac:dyDescent="0.25">
      <c r="A171" s="9"/>
      <c r="B171" s="9"/>
      <c r="C171" s="10"/>
      <c r="D171" s="10"/>
      <c r="E171" s="10"/>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row>
    <row r="172" spans="1:57" x14ac:dyDescent="0.25">
      <c r="A172" s="9"/>
      <c r="B172" s="9"/>
      <c r="C172" s="10"/>
      <c r="D172" s="10"/>
      <c r="E172" s="10"/>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row>
    <row r="173" spans="1:57" x14ac:dyDescent="0.25">
      <c r="A173" s="9"/>
      <c r="B173" s="9"/>
      <c r="C173" s="10"/>
      <c r="D173" s="10"/>
      <c r="E173" s="10"/>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row>
    <row r="174" spans="1:57" x14ac:dyDescent="0.25">
      <c r="A174" s="9"/>
      <c r="B174" s="9"/>
      <c r="C174" s="10"/>
      <c r="D174" s="10"/>
      <c r="E174" s="10"/>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row>
    <row r="175" spans="1:57" x14ac:dyDescent="0.25">
      <c r="A175" s="9"/>
      <c r="B175" s="9"/>
      <c r="C175" s="10"/>
      <c r="D175" s="10"/>
      <c r="E175" s="10"/>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row>
    <row r="176" spans="1:57" x14ac:dyDescent="0.25">
      <c r="A176" s="9"/>
      <c r="B176" s="9"/>
      <c r="C176" s="10"/>
      <c r="D176" s="10"/>
      <c r="E176" s="10"/>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row>
    <row r="177" spans="1:57" x14ac:dyDescent="0.25">
      <c r="A177" s="9"/>
      <c r="B177" s="9"/>
      <c r="C177" s="10"/>
      <c r="D177" s="10"/>
      <c r="E177" s="10"/>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row>
    <row r="178" spans="1:57" x14ac:dyDescent="0.25">
      <c r="A178" s="9"/>
      <c r="B178" s="9"/>
      <c r="C178" s="10"/>
      <c r="D178" s="10"/>
      <c r="E178" s="10"/>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row>
    <row r="179" spans="1:57" x14ac:dyDescent="0.25">
      <c r="A179" s="9"/>
      <c r="B179" s="9"/>
      <c r="C179" s="10"/>
      <c r="D179" s="10"/>
      <c r="E179" s="10"/>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row>
    <row r="180" spans="1:57" x14ac:dyDescent="0.25">
      <c r="A180" s="9"/>
      <c r="B180" s="9"/>
      <c r="C180" s="10"/>
      <c r="D180" s="10"/>
      <c r="E180" s="10"/>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row>
    <row r="181" spans="1:57" x14ac:dyDescent="0.25">
      <c r="A181" s="9"/>
      <c r="B181" s="9"/>
      <c r="C181" s="10"/>
      <c r="D181" s="10"/>
      <c r="E181" s="10"/>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row>
    <row r="182" spans="1:57" x14ac:dyDescent="0.25">
      <c r="A182" s="9"/>
      <c r="B182" s="9"/>
      <c r="C182" s="10"/>
      <c r="D182" s="10"/>
      <c r="E182" s="10"/>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row>
    <row r="183" spans="1:57" x14ac:dyDescent="0.25">
      <c r="A183" s="9"/>
      <c r="B183" s="9"/>
      <c r="C183" s="10"/>
      <c r="D183" s="10"/>
      <c r="E183" s="10"/>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row>
    <row r="184" spans="1:57" x14ac:dyDescent="0.25">
      <c r="A184" s="9"/>
      <c r="B184" s="9"/>
      <c r="C184" s="10"/>
      <c r="D184" s="10"/>
      <c r="E184" s="10"/>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row>
    <row r="185" spans="1:57" x14ac:dyDescent="0.25">
      <c r="A185" s="9"/>
      <c r="B185" s="9"/>
      <c r="C185" s="10"/>
      <c r="D185" s="10"/>
      <c r="E185" s="10"/>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row>
    <row r="186" spans="1:57" x14ac:dyDescent="0.25">
      <c r="A186" s="9"/>
      <c r="B186" s="9"/>
      <c r="C186" s="10"/>
      <c r="D186" s="10"/>
      <c r="E186" s="10"/>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row>
    <row r="187" spans="1:57" x14ac:dyDescent="0.25">
      <c r="A187" s="9"/>
      <c r="B187" s="9"/>
      <c r="C187" s="10"/>
      <c r="D187" s="10"/>
      <c r="E187" s="10"/>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row>
    <row r="188" spans="1:57" x14ac:dyDescent="0.25">
      <c r="A188" s="9"/>
      <c r="B188" s="9"/>
      <c r="C188" s="10"/>
      <c r="D188" s="10"/>
      <c r="E188" s="10"/>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row>
    <row r="189" spans="1:57" x14ac:dyDescent="0.25">
      <c r="A189" s="9"/>
      <c r="B189" s="9"/>
      <c r="C189" s="10"/>
      <c r="D189" s="10"/>
      <c r="E189" s="10"/>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row>
    <row r="190" spans="1:57" x14ac:dyDescent="0.25">
      <c r="A190" s="9"/>
      <c r="B190" s="9"/>
      <c r="C190" s="10"/>
      <c r="D190" s="10"/>
      <c r="E190" s="10"/>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row>
    <row r="191" spans="1:57" x14ac:dyDescent="0.25">
      <c r="A191" s="9"/>
      <c r="B191" s="9"/>
      <c r="C191" s="10"/>
      <c r="D191" s="10"/>
      <c r="E191" s="10"/>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row>
    <row r="192" spans="1:57" x14ac:dyDescent="0.25">
      <c r="A192" s="9"/>
      <c r="B192" s="9"/>
      <c r="C192" s="10"/>
      <c r="D192" s="10"/>
      <c r="E192" s="10"/>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row>
    <row r="193" spans="1:57" x14ac:dyDescent="0.25">
      <c r="A193" s="9"/>
      <c r="B193" s="9"/>
      <c r="C193" s="10"/>
      <c r="D193" s="10"/>
      <c r="E193" s="10"/>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row>
    <row r="194" spans="1:57" x14ac:dyDescent="0.25">
      <c r="A194" s="9"/>
      <c r="B194" s="9"/>
      <c r="C194" s="10"/>
      <c r="D194" s="10"/>
      <c r="E194" s="10"/>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row>
    <row r="195" spans="1:57" x14ac:dyDescent="0.25">
      <c r="A195" s="9"/>
      <c r="B195" s="9"/>
      <c r="C195" s="10"/>
      <c r="D195" s="10"/>
      <c r="E195" s="10"/>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row>
    <row r="196" spans="1:57" x14ac:dyDescent="0.25">
      <c r="A196" s="9"/>
      <c r="B196" s="9"/>
      <c r="C196" s="10"/>
      <c r="D196" s="10"/>
      <c r="E196" s="10"/>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row>
    <row r="197" spans="1:57" x14ac:dyDescent="0.25">
      <c r="A197" s="9"/>
      <c r="B197" s="9"/>
      <c r="C197" s="10"/>
      <c r="D197" s="10"/>
      <c r="E197" s="10"/>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row>
    <row r="198" spans="1:57" x14ac:dyDescent="0.25">
      <c r="A198" s="9"/>
      <c r="B198" s="9"/>
      <c r="C198" s="10"/>
      <c r="D198" s="10"/>
      <c r="E198" s="10"/>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row>
    <row r="199" spans="1:57" x14ac:dyDescent="0.25">
      <c r="A199" s="9"/>
      <c r="B199" s="9"/>
      <c r="C199" s="10"/>
      <c r="D199" s="10"/>
      <c r="E199" s="10"/>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row>
    <row r="200" spans="1:57" x14ac:dyDescent="0.25">
      <c r="A200" s="9"/>
      <c r="B200" s="9"/>
      <c r="C200" s="10"/>
      <c r="D200" s="10"/>
      <c r="E200" s="10"/>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row>
    <row r="201" spans="1:57" x14ac:dyDescent="0.25">
      <c r="A201" s="9"/>
      <c r="B201" s="9"/>
      <c r="C201" s="10"/>
      <c r="D201" s="10"/>
      <c r="E201" s="10"/>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row>
    <row r="202" spans="1:57" x14ac:dyDescent="0.25">
      <c r="A202" s="9"/>
      <c r="B202" s="9"/>
      <c r="C202" s="10"/>
      <c r="D202" s="10"/>
      <c r="E202" s="10"/>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row>
    <row r="203" spans="1:57" x14ac:dyDescent="0.25">
      <c r="A203" s="9"/>
      <c r="B203" s="9"/>
      <c r="C203" s="10"/>
      <c r="D203" s="10"/>
      <c r="E203" s="10"/>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row>
    <row r="204" spans="1:57" x14ac:dyDescent="0.25">
      <c r="A204" s="9"/>
      <c r="B204" s="9"/>
      <c r="C204" s="10"/>
      <c r="D204" s="10"/>
      <c r="E204" s="10"/>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row>
    <row r="205" spans="1:57" x14ac:dyDescent="0.25">
      <c r="A205" s="9"/>
      <c r="B205" s="9"/>
      <c r="C205" s="10"/>
      <c r="D205" s="10"/>
      <c r="E205" s="10"/>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row>
    <row r="206" spans="1:57" x14ac:dyDescent="0.25">
      <c r="A206" s="9"/>
      <c r="B206" s="9"/>
      <c r="C206" s="10"/>
      <c r="D206" s="10"/>
      <c r="E206" s="10"/>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row>
    <row r="207" spans="1:57" x14ac:dyDescent="0.25">
      <c r="A207" s="9"/>
      <c r="B207" s="9"/>
      <c r="C207" s="10"/>
      <c r="D207" s="10"/>
      <c r="E207" s="10"/>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row>
    <row r="208" spans="1:57" x14ac:dyDescent="0.25">
      <c r="A208" s="9"/>
      <c r="B208" s="9"/>
      <c r="C208" s="10"/>
      <c r="D208" s="10"/>
      <c r="E208" s="10"/>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row>
    <row r="209" spans="1:57" x14ac:dyDescent="0.25">
      <c r="A209" s="9"/>
      <c r="B209" s="9"/>
      <c r="C209" s="10"/>
      <c r="D209" s="10"/>
      <c r="E209" s="10"/>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row>
    <row r="210" spans="1:57" x14ac:dyDescent="0.25">
      <c r="A210" s="9"/>
      <c r="B210" s="9"/>
      <c r="C210" s="10"/>
      <c r="D210" s="10"/>
      <c r="E210" s="10"/>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row>
    <row r="211" spans="1:57" x14ac:dyDescent="0.25">
      <c r="A211" s="9"/>
      <c r="B211" s="9"/>
      <c r="C211" s="10"/>
      <c r="D211" s="10"/>
      <c r="E211" s="10"/>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row>
    <row r="212" spans="1:57" x14ac:dyDescent="0.25">
      <c r="A212" s="9"/>
      <c r="B212" s="9"/>
      <c r="C212" s="10"/>
      <c r="D212" s="10"/>
      <c r="E212" s="10"/>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row>
    <row r="213" spans="1:57" x14ac:dyDescent="0.25">
      <c r="A213" s="9"/>
      <c r="B213" s="9"/>
      <c r="C213" s="10"/>
      <c r="D213" s="10"/>
      <c r="E213" s="10"/>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row>
    <row r="214" spans="1:57" x14ac:dyDescent="0.25">
      <c r="A214" s="9"/>
      <c r="B214" s="9"/>
      <c r="C214" s="10"/>
      <c r="D214" s="10"/>
      <c r="E214" s="10"/>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row>
    <row r="215" spans="1:57" x14ac:dyDescent="0.25">
      <c r="A215" s="9"/>
      <c r="B215" s="9"/>
      <c r="C215" s="10"/>
      <c r="D215" s="10"/>
      <c r="E215" s="10"/>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row>
    <row r="216" spans="1:57" x14ac:dyDescent="0.25">
      <c r="A216" s="9"/>
      <c r="B216" s="9"/>
      <c r="C216" s="10"/>
      <c r="D216" s="10"/>
      <c r="E216" s="10"/>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row>
    <row r="217" spans="1:57" x14ac:dyDescent="0.25">
      <c r="A217" s="9"/>
      <c r="B217" s="9"/>
      <c r="C217" s="10"/>
      <c r="D217" s="10"/>
      <c r="E217" s="10"/>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row>
    <row r="218" spans="1:57" x14ac:dyDescent="0.25">
      <c r="A218" s="9"/>
      <c r="B218" s="9"/>
      <c r="C218" s="10"/>
      <c r="D218" s="10"/>
      <c r="E218" s="10"/>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row>
    <row r="219" spans="1:57" x14ac:dyDescent="0.25">
      <c r="A219" s="9"/>
      <c r="B219" s="9"/>
      <c r="C219" s="10"/>
      <c r="D219" s="10"/>
      <c r="E219" s="10"/>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row>
    <row r="220" spans="1:57" x14ac:dyDescent="0.25">
      <c r="A220" s="9"/>
      <c r="B220" s="9"/>
      <c r="C220" s="10"/>
      <c r="D220" s="10"/>
      <c r="E220" s="10"/>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row>
    <row r="221" spans="1:57" x14ac:dyDescent="0.25">
      <c r="A221" s="9"/>
      <c r="B221" s="9"/>
      <c r="C221" s="10"/>
      <c r="D221" s="10"/>
      <c r="E221" s="10"/>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row>
    <row r="222" spans="1:57" x14ac:dyDescent="0.25">
      <c r="A222" s="9"/>
      <c r="B222" s="9"/>
      <c r="C222" s="10"/>
      <c r="D222" s="10"/>
      <c r="E222" s="10"/>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row>
  </sheetData>
  <mergeCells count="15">
    <mergeCell ref="B103:C103"/>
    <mergeCell ref="A28:A102"/>
    <mergeCell ref="A5:A27"/>
    <mergeCell ref="D53:V56"/>
    <mergeCell ref="D71:V75"/>
    <mergeCell ref="D77:V84"/>
    <mergeCell ref="D86:V98"/>
    <mergeCell ref="D100:V102"/>
    <mergeCell ref="D2:M2"/>
    <mergeCell ref="N4:V4"/>
    <mergeCell ref="D6:V6"/>
    <mergeCell ref="D25:V27"/>
    <mergeCell ref="D41:V41"/>
    <mergeCell ref="N2:V2"/>
    <mergeCell ref="D4:M4"/>
  </mergeCells>
  <phoneticPr fontId="5" type="noConversion"/>
  <pageMargins left="0.7" right="0.7" top="0.75" bottom="0.75" header="0.3" footer="0.3"/>
  <pageSetup paperSize="9" scale="75" orientation="landscape" horizontalDpi="0" verticalDpi="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P22"/>
  <sheetViews>
    <sheetView zoomScale="59" zoomScaleNormal="59" workbookViewId="0">
      <selection activeCell="H17" sqref="H17"/>
    </sheetView>
  </sheetViews>
  <sheetFormatPr defaultColWidth="10.85546875" defaultRowHeight="15" x14ac:dyDescent="0.25"/>
  <cols>
    <col min="1" max="1" width="5.85546875" style="9" customWidth="1"/>
    <col min="2" max="2" width="56.85546875" style="9" bestFit="1" customWidth="1"/>
    <col min="3" max="7" width="10.28515625" style="9" bestFit="1" customWidth="1"/>
    <col min="8" max="8" width="9.85546875" style="9" bestFit="1" customWidth="1"/>
    <col min="9" max="9" width="9.28515625" style="9" bestFit="1" customWidth="1"/>
    <col min="10" max="11" width="9.85546875" style="9" bestFit="1" customWidth="1"/>
    <col min="12" max="16384" width="10.85546875" style="9"/>
  </cols>
  <sheetData>
    <row r="1" spans="1:16" x14ac:dyDescent="0.25">
      <c r="A1" s="52" t="s">
        <v>279</v>
      </c>
    </row>
    <row r="2" spans="1:16" x14ac:dyDescent="0.25">
      <c r="A2" s="53"/>
      <c r="B2" s="53"/>
      <c r="C2" s="205" t="s">
        <v>284</v>
      </c>
      <c r="D2" s="205"/>
      <c r="E2" s="205"/>
      <c r="F2" s="205"/>
      <c r="G2" s="205"/>
      <c r="H2" s="205"/>
      <c r="I2" s="205"/>
      <c r="J2" s="205"/>
      <c r="K2" s="205"/>
    </row>
    <row r="3" spans="1:16" x14ac:dyDescent="0.25">
      <c r="A3" s="194" t="s">
        <v>207</v>
      </c>
      <c r="B3" s="194"/>
      <c r="C3" s="54">
        <v>2005</v>
      </c>
      <c r="D3" s="54">
        <v>2006</v>
      </c>
      <c r="E3" s="54">
        <v>2007</v>
      </c>
      <c r="F3" s="54">
        <v>2008</v>
      </c>
      <c r="G3" s="54">
        <v>2009</v>
      </c>
      <c r="H3" s="54">
        <v>2010</v>
      </c>
      <c r="I3" s="54">
        <v>2011</v>
      </c>
      <c r="J3" s="54">
        <v>2012</v>
      </c>
      <c r="K3" s="54">
        <v>2012</v>
      </c>
    </row>
    <row r="4" spans="1:16" x14ac:dyDescent="0.25">
      <c r="A4" s="55" t="s">
        <v>208</v>
      </c>
      <c r="B4" s="55" t="s">
        <v>209</v>
      </c>
      <c r="C4" s="206" t="s">
        <v>273</v>
      </c>
      <c r="D4" s="207"/>
      <c r="E4" s="207"/>
      <c r="F4" s="207"/>
      <c r="G4" s="207"/>
      <c r="H4" s="207"/>
      <c r="I4" s="207"/>
      <c r="J4" s="207"/>
      <c r="K4" s="208"/>
    </row>
    <row r="5" spans="1:16" x14ac:dyDescent="0.25">
      <c r="A5" s="56">
        <v>1</v>
      </c>
      <c r="B5" s="56" t="s">
        <v>210</v>
      </c>
      <c r="C5" s="193">
        <f>'1'!N12+'1'!N58</f>
        <v>109.32097214699967</v>
      </c>
      <c r="D5" s="193">
        <f>'1'!O12+'1'!O58</f>
        <v>108.47552469446809</v>
      </c>
      <c r="E5" s="193">
        <f>'1'!P12+'1'!P58</f>
        <v>142.4354787444118</v>
      </c>
      <c r="F5" s="193">
        <f>'1'!Q12+'1'!Q58</f>
        <v>172.18096193261289</v>
      </c>
      <c r="G5" s="193">
        <f>'1'!R12+'1'!R58</f>
        <v>166.32738802697503</v>
      </c>
      <c r="H5" s="193">
        <f>'1'!S12+'1'!S58</f>
        <v>207.10710269836545</v>
      </c>
      <c r="I5" s="193">
        <f>'1'!T12+'1'!T58</f>
        <v>217.87026059247151</v>
      </c>
      <c r="J5" s="193">
        <f>'1'!U12+'1'!U58</f>
        <v>227.02673376042347</v>
      </c>
      <c r="K5" s="193">
        <f>'1'!V12+'1'!V58</f>
        <v>234.07720412734096</v>
      </c>
      <c r="L5" s="47"/>
      <c r="M5" s="47"/>
      <c r="N5" s="47"/>
      <c r="O5" s="47"/>
      <c r="P5" s="47"/>
    </row>
    <row r="6" spans="1:16" x14ac:dyDescent="0.25">
      <c r="A6" s="56">
        <v>2</v>
      </c>
      <c r="B6" s="56" t="s">
        <v>211</v>
      </c>
      <c r="C6" s="193">
        <f>'1'!N14+'1'!N38</f>
        <v>40.50290927229485</v>
      </c>
      <c r="D6" s="193">
        <f>'1'!O14+'1'!O38</f>
        <v>36.44142671658205</v>
      </c>
      <c r="E6" s="193">
        <f>'1'!P14+'1'!P38</f>
        <v>39.5466582603026</v>
      </c>
      <c r="F6" s="193">
        <f>'1'!Q14+'1'!Q38</f>
        <v>47.580123443672804</v>
      </c>
      <c r="G6" s="193">
        <f>'1'!R14+'1'!R38</f>
        <v>48.442959597294994</v>
      </c>
      <c r="H6" s="193">
        <f>'1'!S14+'1'!S38</f>
        <v>53.670245791044749</v>
      </c>
      <c r="I6" s="193">
        <f>'1'!T14+'1'!T38</f>
        <v>53.660725831871758</v>
      </c>
      <c r="J6" s="193">
        <f>'1'!U14+'1'!U38</f>
        <v>61.891368088265267</v>
      </c>
      <c r="K6" s="193">
        <f>'1'!V14+'1'!V38</f>
        <v>72.907748801853501</v>
      </c>
      <c r="L6" s="47"/>
      <c r="M6" s="47"/>
      <c r="N6" s="47"/>
      <c r="O6" s="47"/>
      <c r="P6" s="47"/>
    </row>
    <row r="7" spans="1:16" x14ac:dyDescent="0.25">
      <c r="A7" s="56">
        <v>3</v>
      </c>
      <c r="B7" s="56" t="s">
        <v>212</v>
      </c>
      <c r="C7" s="193">
        <f>'1'!N59</f>
        <v>0</v>
      </c>
      <c r="D7" s="193">
        <f>'1'!O59</f>
        <v>0</v>
      </c>
      <c r="E7" s="193">
        <f>'1'!P59</f>
        <v>0</v>
      </c>
      <c r="F7" s="193">
        <f>'1'!Q59</f>
        <v>0</v>
      </c>
      <c r="G7" s="193">
        <f>'1'!R59</f>
        <v>0</v>
      </c>
      <c r="H7" s="193">
        <f>'1'!S59</f>
        <v>0</v>
      </c>
      <c r="I7" s="193">
        <f>'1'!T59</f>
        <v>0</v>
      </c>
      <c r="J7" s="193">
        <f>'1'!U59</f>
        <v>0</v>
      </c>
      <c r="K7" s="193">
        <f>'1'!V59</f>
        <v>0</v>
      </c>
      <c r="L7" s="47"/>
      <c r="M7" s="47"/>
      <c r="N7" s="47"/>
      <c r="O7" s="47"/>
      <c r="P7" s="47"/>
    </row>
    <row r="8" spans="1:16" x14ac:dyDescent="0.25">
      <c r="A8" s="56">
        <v>4</v>
      </c>
      <c r="B8" s="58" t="s">
        <v>26</v>
      </c>
      <c r="C8" s="193">
        <f>'1'!N13+'1'!N60+'1'!N62+'1'!N63+'1'!N64</f>
        <v>16.189031256723748</v>
      </c>
      <c r="D8" s="193">
        <f>'1'!O13+'1'!O60+'1'!O62+'1'!O63+'1'!O64</f>
        <v>6.4561958254812497</v>
      </c>
      <c r="E8" s="193">
        <f>'1'!P13+'1'!P60+'1'!P62+'1'!P63+'1'!P64</f>
        <v>7.9110238902749987</v>
      </c>
      <c r="F8" s="193">
        <f>'1'!Q13+'1'!Q60+'1'!Q62+'1'!Q63+'1'!Q64</f>
        <v>11.718707075953576</v>
      </c>
      <c r="G8" s="193">
        <f>'1'!R13+'1'!R60+'1'!R62+'1'!R63+'1'!R64</f>
        <v>14.715320016360723</v>
      </c>
      <c r="H8" s="193">
        <f>'1'!S13+'1'!S60+'1'!S62+'1'!S63+'1'!S64</f>
        <v>13.202486877512424</v>
      </c>
      <c r="I8" s="193">
        <f>'1'!T13+'1'!T60+'1'!T62+'1'!T63+'1'!T64</f>
        <v>25.807998099639779</v>
      </c>
      <c r="J8" s="193">
        <f>'1'!U13+'1'!U60+'1'!U62+'1'!U63+'1'!U64</f>
        <v>35.72239370561001</v>
      </c>
      <c r="K8" s="193">
        <f>'1'!V13+'1'!V60+'1'!V62+'1'!V63+'1'!V64</f>
        <v>45.731525822904992</v>
      </c>
      <c r="L8" s="47"/>
      <c r="M8" s="47"/>
      <c r="N8" s="47"/>
      <c r="O8" s="47"/>
      <c r="P8" s="47"/>
    </row>
    <row r="9" spans="1:16" x14ac:dyDescent="0.25">
      <c r="A9" s="56">
        <v>5</v>
      </c>
      <c r="B9" s="56" t="s">
        <v>213</v>
      </c>
      <c r="C9" s="193">
        <f>'1'!N17+'1'!N28</f>
        <v>96.956998976600232</v>
      </c>
      <c r="D9" s="193">
        <f>'1'!O17+'1'!O28</f>
        <v>102.72690935028349</v>
      </c>
      <c r="E9" s="193">
        <f>'1'!P17+'1'!P28</f>
        <v>110.87774751892374</v>
      </c>
      <c r="F9" s="193">
        <f>'1'!Q17+'1'!Q28</f>
        <v>124.08119197656902</v>
      </c>
      <c r="G9" s="193">
        <f>'1'!R17+'1'!R28</f>
        <v>135.94030439148798</v>
      </c>
      <c r="H9" s="193">
        <f>'1'!S17+'1'!S28</f>
        <v>149.54990827905652</v>
      </c>
      <c r="I9" s="193">
        <f>'1'!T17+'1'!T28</f>
        <v>160.22436322260873</v>
      </c>
      <c r="J9" s="193">
        <f>'1'!U17+'1'!U28</f>
        <v>165.1227787641937</v>
      </c>
      <c r="K9" s="193">
        <f>'1'!V17+'1'!V28</f>
        <v>178.08427788161001</v>
      </c>
      <c r="L9" s="47"/>
      <c r="M9" s="47"/>
      <c r="N9" s="47"/>
      <c r="O9" s="47"/>
      <c r="P9" s="47"/>
    </row>
    <row r="10" spans="1:16" x14ac:dyDescent="0.25">
      <c r="A10" s="56">
        <v>6</v>
      </c>
      <c r="B10" s="56" t="s">
        <v>214</v>
      </c>
      <c r="C10" s="193">
        <f>'1'!N65</f>
        <v>3.2048835000000002</v>
      </c>
      <c r="D10" s="193">
        <f>'1'!O65</f>
        <v>3.0277177750000002</v>
      </c>
      <c r="E10" s="193">
        <f>'1'!P65</f>
        <v>3.4953824250000003</v>
      </c>
      <c r="F10" s="193">
        <f>'1'!Q65</f>
        <v>3.1896829999999996</v>
      </c>
      <c r="G10" s="193">
        <f>'1'!R65</f>
        <v>3.1476033250000004</v>
      </c>
      <c r="H10" s="193">
        <f>'1'!S65</f>
        <v>4.244828525</v>
      </c>
      <c r="I10" s="193">
        <f>'1'!T65</f>
        <v>4.5310899999999998</v>
      </c>
      <c r="J10" s="193">
        <f>'1'!U65</f>
        <v>4.6686537500000007</v>
      </c>
      <c r="K10" s="193">
        <f>'1'!V65</f>
        <v>4.4962442500000002</v>
      </c>
      <c r="L10" s="47"/>
      <c r="M10" s="47"/>
      <c r="N10" s="47"/>
      <c r="O10" s="47"/>
      <c r="P10" s="47"/>
    </row>
    <row r="11" spans="1:16" x14ac:dyDescent="0.25">
      <c r="A11" s="56">
        <v>7</v>
      </c>
      <c r="B11" s="56" t="s">
        <v>307</v>
      </c>
      <c r="C11" s="193">
        <f>'1'!N7+'1'!N9+'1'!N10</f>
        <v>27.633387765865628</v>
      </c>
      <c r="D11" s="193">
        <f>'1'!O7+'1'!O9+'1'!O10</f>
        <v>31.162243877071774</v>
      </c>
      <c r="E11" s="193">
        <f>'1'!P7+'1'!P9+'1'!P10</f>
        <v>30.740590169171377</v>
      </c>
      <c r="F11" s="193">
        <f>'1'!Q7+'1'!Q9+'1'!Q10</f>
        <v>34.551645619801953</v>
      </c>
      <c r="G11" s="193">
        <f>'1'!R7+'1'!R9+'1'!R10</f>
        <v>40.388838974451303</v>
      </c>
      <c r="H11" s="193">
        <f>'1'!S7+'1'!S9+'1'!S10</f>
        <v>43.206988987528852</v>
      </c>
      <c r="I11" s="193">
        <f>'1'!T7+'1'!T9+'1'!T10</f>
        <v>47.204961087599997</v>
      </c>
      <c r="J11" s="193">
        <f>'1'!U7+'1'!U9+'1'!U10</f>
        <v>50.136546109650006</v>
      </c>
      <c r="K11" s="193">
        <f>'1'!V7+'1'!V9+'1'!V10</f>
        <v>46.304188251400006</v>
      </c>
      <c r="L11" s="47"/>
      <c r="M11" s="47"/>
      <c r="N11" s="47"/>
      <c r="O11" s="47"/>
      <c r="P11" s="47"/>
    </row>
    <row r="12" spans="1:16" x14ac:dyDescent="0.25">
      <c r="A12" s="56">
        <v>8</v>
      </c>
      <c r="B12" s="56" t="s">
        <v>215</v>
      </c>
      <c r="C12" s="193">
        <f>'1'!N20</f>
        <v>2.2133624800000001E-2</v>
      </c>
      <c r="D12" s="193">
        <f>'1'!O20</f>
        <v>1.8808618725000004E-2</v>
      </c>
      <c r="E12" s="193">
        <f>'1'!P20</f>
        <v>6.4098729249999998E-3</v>
      </c>
      <c r="F12" s="193">
        <f>'1'!Q20</f>
        <v>1.1207616219424999E-2</v>
      </c>
      <c r="G12" s="193">
        <f>'1'!R20</f>
        <v>3.1090321658274998E-2</v>
      </c>
      <c r="H12" s="193">
        <f>'1'!S20</f>
        <v>6.6349394932499986E-2</v>
      </c>
      <c r="I12" s="193">
        <f>'1'!T20</f>
        <v>5.5633766092499995E-2</v>
      </c>
      <c r="J12" s="193">
        <f>'1'!U20</f>
        <v>5.4837705859999988E-2</v>
      </c>
      <c r="K12" s="193">
        <f>'1'!V20</f>
        <v>3.3943581675000008E-2</v>
      </c>
      <c r="L12" s="47"/>
      <c r="M12" s="47"/>
      <c r="N12" s="47"/>
      <c r="O12" s="47"/>
      <c r="P12" s="47"/>
    </row>
    <row r="13" spans="1:16" x14ac:dyDescent="0.25">
      <c r="A13" s="56">
        <v>9</v>
      </c>
      <c r="B13" s="56" t="s">
        <v>32</v>
      </c>
      <c r="C13" s="193">
        <f>'1'!N23</f>
        <v>5.317191068414524</v>
      </c>
      <c r="D13" s="193">
        <f>'1'!O23</f>
        <v>4.9793410364341497</v>
      </c>
      <c r="E13" s="193">
        <f>'1'!P23</f>
        <v>6.2076755452802264</v>
      </c>
      <c r="F13" s="193">
        <f>'1'!Q23</f>
        <v>8.7602888029207495</v>
      </c>
      <c r="G13" s="193">
        <f>'1'!R23</f>
        <v>9.0475051842499994</v>
      </c>
      <c r="H13" s="193">
        <f>'1'!S23</f>
        <v>9.458765256965</v>
      </c>
      <c r="I13" s="193">
        <f>'1'!T23</f>
        <v>10.703546548094998</v>
      </c>
      <c r="J13" s="193">
        <f>'1'!U23</f>
        <v>10.5447273238</v>
      </c>
      <c r="K13" s="193">
        <f>'1'!V23</f>
        <v>7.8584805293499986</v>
      </c>
      <c r="L13" s="47"/>
      <c r="M13" s="47"/>
      <c r="N13" s="47"/>
      <c r="O13" s="47"/>
      <c r="P13" s="47"/>
    </row>
    <row r="14" spans="1:16" x14ac:dyDescent="0.25">
      <c r="A14" s="56">
        <v>10</v>
      </c>
      <c r="B14" s="56" t="s">
        <v>216</v>
      </c>
      <c r="C14" s="193">
        <f>'1'!N16</f>
        <v>5.1111253754321009</v>
      </c>
      <c r="D14" s="193">
        <f>'1'!O16</f>
        <v>4.7947981300836249</v>
      </c>
      <c r="E14" s="193">
        <f>'1'!P16</f>
        <v>2.6223166203835997</v>
      </c>
      <c r="F14" s="193">
        <f>'1'!Q16</f>
        <v>3.0977380214237744</v>
      </c>
      <c r="G14" s="193">
        <f>'1'!R16</f>
        <v>5.8785558311674748</v>
      </c>
      <c r="H14" s="193">
        <f>'1'!S16</f>
        <v>7.0991605992124249</v>
      </c>
      <c r="I14" s="193">
        <f>'1'!T16</f>
        <v>4.7050798093074997</v>
      </c>
      <c r="J14" s="193">
        <f>'1'!U16</f>
        <v>4.0085233180150004</v>
      </c>
      <c r="K14" s="193">
        <f>'1'!V16</f>
        <v>4.9279933432724992</v>
      </c>
      <c r="L14" s="47"/>
      <c r="M14" s="47"/>
      <c r="N14" s="47"/>
      <c r="O14" s="47"/>
      <c r="P14" s="47"/>
    </row>
    <row r="15" spans="1:16" x14ac:dyDescent="0.25">
      <c r="A15" s="56">
        <v>11</v>
      </c>
      <c r="B15" s="56" t="s">
        <v>217</v>
      </c>
      <c r="C15" s="193">
        <f>'1'!N15</f>
        <v>6.3304667520625753</v>
      </c>
      <c r="D15" s="193">
        <f>'1'!O15</f>
        <v>6.7008051811877252</v>
      </c>
      <c r="E15" s="193">
        <f>'1'!P15</f>
        <v>6.0723287585247494</v>
      </c>
      <c r="F15" s="193">
        <f>'1'!Q15</f>
        <v>6.7140805430742514</v>
      </c>
      <c r="G15" s="193">
        <f>'1'!R15</f>
        <v>7.9931301550000011</v>
      </c>
      <c r="H15" s="193">
        <f>'1'!S15</f>
        <v>8.6721290400000015</v>
      </c>
      <c r="I15" s="193">
        <f>'1'!T15</f>
        <v>7.9764234259999993</v>
      </c>
      <c r="J15" s="193">
        <f>'1'!U15</f>
        <v>9.6163874686749988</v>
      </c>
      <c r="K15" s="193">
        <f>'1'!V15</f>
        <v>11.420704043445001</v>
      </c>
      <c r="L15" s="47"/>
      <c r="M15" s="47"/>
      <c r="N15" s="47"/>
      <c r="O15" s="47"/>
      <c r="P15" s="47"/>
    </row>
    <row r="16" spans="1:16" x14ac:dyDescent="0.25">
      <c r="A16" s="56">
        <v>12</v>
      </c>
      <c r="B16" s="56" t="s">
        <v>36</v>
      </c>
      <c r="C16" s="193">
        <f>'1'!N18</f>
        <v>0.65695107753899995</v>
      </c>
      <c r="D16" s="193">
        <f>'1'!O18</f>
        <v>0.75101679468322469</v>
      </c>
      <c r="E16" s="193">
        <f>'1'!P18</f>
        <v>0.84201086982337481</v>
      </c>
      <c r="F16" s="193">
        <f>'1'!Q18</f>
        <v>1.1480371914863499</v>
      </c>
      <c r="G16" s="193">
        <f>'1'!R18</f>
        <v>1.6681507107507498</v>
      </c>
      <c r="H16" s="193">
        <f>'1'!S18</f>
        <v>2.0822205119079999</v>
      </c>
      <c r="I16" s="193">
        <f>'1'!T18</f>
        <v>2.5910803674489999</v>
      </c>
      <c r="J16" s="193">
        <f>'1'!U18</f>
        <v>2.1893123862467494</v>
      </c>
      <c r="K16" s="193">
        <f>'1'!V18</f>
        <v>4.0244001256807493</v>
      </c>
      <c r="L16" s="47"/>
      <c r="M16" s="47"/>
      <c r="N16" s="47"/>
      <c r="O16" s="47"/>
      <c r="P16" s="47"/>
    </row>
    <row r="17" spans="1:16" x14ac:dyDescent="0.25">
      <c r="A17" s="56">
        <v>13</v>
      </c>
      <c r="B17" s="56" t="s">
        <v>218</v>
      </c>
      <c r="C17" s="193">
        <f>'1'!N21</f>
        <v>0.1359821125</v>
      </c>
      <c r="D17" s="193">
        <f>'1'!O21</f>
        <v>0.12128053120414999</v>
      </c>
      <c r="E17" s="193">
        <f>'1'!P21</f>
        <v>8.6359036112450008E-2</v>
      </c>
      <c r="F17" s="193">
        <f>'1'!Q21</f>
        <v>1.5634586999999998E-2</v>
      </c>
      <c r="G17" s="193">
        <f>'1'!R21</f>
        <v>0.16505949507499998</v>
      </c>
      <c r="H17" s="193">
        <f>'1'!S21</f>
        <v>0.25664215472500002</v>
      </c>
      <c r="I17" s="193">
        <f>'1'!T21</f>
        <v>0.24338973924999999</v>
      </c>
      <c r="J17" s="193">
        <f>'1'!U21</f>
        <v>0.25086054168000005</v>
      </c>
      <c r="K17" s="193">
        <f>'1'!V21</f>
        <v>0.31320462696690005</v>
      </c>
      <c r="L17" s="47"/>
      <c r="M17" s="47"/>
      <c r="N17" s="47"/>
      <c r="O17" s="47"/>
      <c r="P17" s="47"/>
    </row>
    <row r="18" spans="1:16" x14ac:dyDescent="0.25">
      <c r="A18" s="56">
        <v>14</v>
      </c>
      <c r="B18" s="56" t="s">
        <v>33</v>
      </c>
      <c r="C18" s="193">
        <f>'1'!N22</f>
        <v>0</v>
      </c>
      <c r="D18" s="193">
        <f>'1'!O22</f>
        <v>-7.1925149999999992E-8</v>
      </c>
      <c r="E18" s="193">
        <f>'1'!P22</f>
        <v>1.4220496750000001E-4</v>
      </c>
      <c r="F18" s="193">
        <f>'1'!Q22</f>
        <v>0.19860584391884994</v>
      </c>
      <c r="G18" s="193">
        <f>'1'!R22</f>
        <v>0.59498791452999988</v>
      </c>
      <c r="H18" s="193">
        <f>'1'!S22</f>
        <v>1.3234024050000001E-3</v>
      </c>
      <c r="I18" s="193">
        <f>'1'!T22</f>
        <v>-1.0859655499999999E-4</v>
      </c>
      <c r="J18" s="193">
        <f>'1'!U22</f>
        <v>2.5222048604999999E-3</v>
      </c>
      <c r="K18" s="193">
        <f>'1'!V22</f>
        <v>7.7275803570000003E-3</v>
      </c>
      <c r="L18" s="47"/>
      <c r="M18" s="47"/>
      <c r="N18" s="47"/>
      <c r="O18" s="47"/>
      <c r="P18" s="47"/>
    </row>
    <row r="19" spans="1:16" x14ac:dyDescent="0.25">
      <c r="A19" s="56">
        <v>15</v>
      </c>
      <c r="B19" s="56" t="s">
        <v>37</v>
      </c>
      <c r="C19" s="193">
        <f>'1'!N19</f>
        <v>3.3373317669691995</v>
      </c>
      <c r="D19" s="193">
        <f>'1'!O19</f>
        <v>3.4490734086106749</v>
      </c>
      <c r="E19" s="193">
        <f>'1'!P19</f>
        <v>3.9510679123694743</v>
      </c>
      <c r="F19" s="193">
        <f>'1'!Q19</f>
        <v>3.7803189172593252</v>
      </c>
      <c r="G19" s="193">
        <f>'1'!R19</f>
        <v>5.0926323849959756</v>
      </c>
      <c r="H19" s="193">
        <f>'1'!S19</f>
        <v>9.5460298404558994</v>
      </c>
      <c r="I19" s="193">
        <f>'1'!T19</f>
        <v>2.2013444371076996</v>
      </c>
      <c r="J19" s="193">
        <f>'1'!U19</f>
        <v>5.3513078748757508</v>
      </c>
      <c r="K19" s="193">
        <f>'1'!V19</f>
        <v>9.6289242547922509</v>
      </c>
      <c r="L19" s="47"/>
      <c r="M19" s="47"/>
      <c r="N19" s="47"/>
      <c r="O19" s="47"/>
      <c r="P19" s="47"/>
    </row>
    <row r="20" spans="1:16" x14ac:dyDescent="0.25">
      <c r="A20" s="56">
        <v>16</v>
      </c>
      <c r="B20" s="56" t="s">
        <v>219</v>
      </c>
      <c r="C20" s="193">
        <f>'1'!N24</f>
        <v>0.72190726070397515</v>
      </c>
      <c r="D20" s="193">
        <f>'1'!O24</f>
        <v>1.7807540001273252</v>
      </c>
      <c r="E20" s="193">
        <f>'1'!P24</f>
        <v>7.6846500465125034E-2</v>
      </c>
      <c r="F20" s="193">
        <f>'1'!Q24</f>
        <v>-0.21947972000479996</v>
      </c>
      <c r="G20" s="193">
        <f>'1'!R24</f>
        <v>-0.2272313376404751</v>
      </c>
      <c r="H20" s="193">
        <f>'1'!S24</f>
        <v>1.275020990325</v>
      </c>
      <c r="I20" s="193">
        <f>'1'!T24</f>
        <v>1.17028988905</v>
      </c>
      <c r="J20" s="193">
        <f>'1'!U24</f>
        <v>2.1440312875675001</v>
      </c>
      <c r="K20" s="193">
        <f>'1'!V24</f>
        <v>2.7584156374775</v>
      </c>
      <c r="L20" s="47"/>
      <c r="M20" s="47"/>
      <c r="N20" s="47"/>
      <c r="O20" s="47"/>
      <c r="P20" s="47"/>
    </row>
    <row r="21" spans="1:16" x14ac:dyDescent="0.25">
      <c r="A21" s="204" t="s">
        <v>220</v>
      </c>
      <c r="B21" s="204"/>
      <c r="C21" s="59">
        <f t="shared" ref="C21:J21" si="0">SUM(C5:C20)</f>
        <v>315.44127195690555</v>
      </c>
      <c r="D21" s="59">
        <f t="shared" si="0"/>
        <v>310.88589586801737</v>
      </c>
      <c r="E21" s="59">
        <f t="shared" si="0"/>
        <v>354.87203832893601</v>
      </c>
      <c r="F21" s="59">
        <f t="shared" si="0"/>
        <v>416.80874485190822</v>
      </c>
      <c r="G21" s="59">
        <f t="shared" si="0"/>
        <v>439.20629499135697</v>
      </c>
      <c r="H21" s="59">
        <f t="shared" si="0"/>
        <v>509.43920234943687</v>
      </c>
      <c r="I21" s="59">
        <f t="shared" si="0"/>
        <v>538.94607821998829</v>
      </c>
      <c r="J21" s="59">
        <f t="shared" si="0"/>
        <v>578.73098428972298</v>
      </c>
      <c r="K21" s="59">
        <f t="shared" ref="K21" si="1">SUM(K5:K20)</f>
        <v>622.5749828581263</v>
      </c>
    </row>
    <row r="22" spans="1:16" x14ac:dyDescent="0.25">
      <c r="B22" s="60"/>
      <c r="C22" s="60"/>
      <c r="D22" s="60"/>
      <c r="E22" s="61"/>
      <c r="H22" s="61"/>
    </row>
  </sheetData>
  <mergeCells count="4">
    <mergeCell ref="A3:B3"/>
    <mergeCell ref="A21:B21"/>
    <mergeCell ref="C2:K2"/>
    <mergeCell ref="C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3"/>
  <sheetViews>
    <sheetView zoomScale="80" zoomScaleNormal="80" workbookViewId="0">
      <selection activeCell="J3" sqref="J3"/>
    </sheetView>
  </sheetViews>
  <sheetFormatPr defaultColWidth="10.85546875" defaultRowHeight="15" x14ac:dyDescent="0.25"/>
  <cols>
    <col min="1" max="1" width="6" style="9" bestFit="1" customWidth="1"/>
    <col min="2" max="2" width="56.42578125" style="9" customWidth="1"/>
    <col min="3" max="3" width="12.28515625" style="9" customWidth="1"/>
    <col min="4" max="4" width="10.85546875" style="9" bestFit="1" customWidth="1"/>
    <col min="5" max="5" width="11.85546875" style="9" customWidth="1"/>
    <col min="6" max="6" width="11.140625" style="9" customWidth="1"/>
    <col min="7" max="7" width="10.85546875" style="9" bestFit="1" customWidth="1"/>
    <col min="8" max="8" width="14.42578125" style="9" customWidth="1"/>
    <col min="9" max="16384" width="10.85546875" style="9"/>
  </cols>
  <sheetData>
    <row r="1" spans="1:8" x14ac:dyDescent="0.25">
      <c r="A1" s="65" t="s">
        <v>280</v>
      </c>
    </row>
    <row r="3" spans="1:8" ht="60" x14ac:dyDescent="0.25">
      <c r="A3" s="209" t="s">
        <v>207</v>
      </c>
      <c r="B3" s="209"/>
      <c r="C3" s="96" t="s">
        <v>274</v>
      </c>
      <c r="D3" s="96" t="s">
        <v>275</v>
      </c>
      <c r="E3" s="210" t="s">
        <v>233</v>
      </c>
      <c r="F3" s="96" t="s">
        <v>276</v>
      </c>
      <c r="G3" s="96" t="s">
        <v>277</v>
      </c>
      <c r="H3" s="211" t="s">
        <v>233</v>
      </c>
    </row>
    <row r="4" spans="1:8" x14ac:dyDescent="0.25">
      <c r="A4" s="97" t="s">
        <v>208</v>
      </c>
      <c r="B4" s="97" t="s">
        <v>209</v>
      </c>
      <c r="C4" s="98" t="s">
        <v>301</v>
      </c>
      <c r="D4" s="98" t="s">
        <v>301</v>
      </c>
      <c r="E4" s="210"/>
      <c r="F4" s="98" t="s">
        <v>301</v>
      </c>
      <c r="G4" s="98" t="s">
        <v>301</v>
      </c>
      <c r="H4" s="211"/>
    </row>
    <row r="5" spans="1:8" x14ac:dyDescent="0.25">
      <c r="A5" s="66">
        <v>1</v>
      </c>
      <c r="B5" s="67" t="s">
        <v>210</v>
      </c>
      <c r="C5" s="68">
        <f>117304.44/1000</f>
        <v>117.30444</v>
      </c>
      <c r="D5" s="68">
        <f>'2'!E5</f>
        <v>142.4354787444118</v>
      </c>
      <c r="E5" s="69">
        <f>(C5-D5)/C5</f>
        <v>-0.21423774534375509</v>
      </c>
      <c r="F5" s="68">
        <f>96002.05/1000</f>
        <v>96.002049999999997</v>
      </c>
      <c r="G5" s="68">
        <f>'2'!H5</f>
        <v>207.10710269836545</v>
      </c>
      <c r="H5" s="70">
        <f>IFERROR((F5-G5)/F5,"")</f>
        <v>-1.1573195853459948</v>
      </c>
    </row>
    <row r="6" spans="1:8" x14ac:dyDescent="0.25">
      <c r="A6" s="66">
        <v>2</v>
      </c>
      <c r="B6" s="67" t="s">
        <v>211</v>
      </c>
      <c r="C6" s="68">
        <f>33331.7/1000</f>
        <v>33.331699999999998</v>
      </c>
      <c r="D6" s="68">
        <f>'2'!E6</f>
        <v>39.5466582603026</v>
      </c>
      <c r="E6" s="69">
        <f t="shared" ref="E6:E17" si="0">(C6-D6)/C6</f>
        <v>-0.1864578842454061</v>
      </c>
      <c r="F6" s="68">
        <f>36260.31/1000</f>
        <v>36.260309999999997</v>
      </c>
      <c r="G6" s="68">
        <f>'2'!H6</f>
        <v>53.670245791044749</v>
      </c>
      <c r="H6" s="70">
        <f t="shared" ref="H6:H24" si="1">IFERROR((F6-G6)/F6,"")</f>
        <v>-0.48013753305045526</v>
      </c>
    </row>
    <row r="7" spans="1:8" x14ac:dyDescent="0.25">
      <c r="A7" s="66">
        <v>3</v>
      </c>
      <c r="B7" s="67" t="s">
        <v>212</v>
      </c>
      <c r="C7" s="68">
        <f>2462.7/1000</f>
        <v>2.4626999999999999</v>
      </c>
      <c r="D7" s="68">
        <f>'2'!E7</f>
        <v>0</v>
      </c>
      <c r="E7" s="71">
        <f t="shared" si="0"/>
        <v>1</v>
      </c>
      <c r="F7" s="68">
        <f>3722.93/1000</f>
        <v>3.7229299999999999</v>
      </c>
      <c r="G7" s="68">
        <f>'2'!H7</f>
        <v>0</v>
      </c>
      <c r="H7" s="72">
        <f t="shared" si="1"/>
        <v>1</v>
      </c>
    </row>
    <row r="8" spans="1:8" x14ac:dyDescent="0.25">
      <c r="A8" s="66">
        <v>4</v>
      </c>
      <c r="B8" s="67" t="s">
        <v>26</v>
      </c>
      <c r="C8" s="68">
        <f>2958.8/1000</f>
        <v>2.9588000000000001</v>
      </c>
      <c r="D8" s="68">
        <f>'2'!E8</f>
        <v>7.9110238902749987</v>
      </c>
      <c r="E8" s="69">
        <f t="shared" si="0"/>
        <v>-1.6737271496130184</v>
      </c>
      <c r="F8" s="68">
        <f>5006.37/1000</f>
        <v>5.0063699999999995</v>
      </c>
      <c r="G8" s="68">
        <f>'2'!H8</f>
        <v>13.202486877512424</v>
      </c>
      <c r="H8" s="72">
        <f t="shared" si="1"/>
        <v>-1.6371376621209428</v>
      </c>
    </row>
    <row r="9" spans="1:8" x14ac:dyDescent="0.25">
      <c r="A9" s="66">
        <v>5</v>
      </c>
      <c r="B9" s="67" t="s">
        <v>213</v>
      </c>
      <c r="C9" s="68">
        <f>130929.03/1000</f>
        <v>130.92903000000001</v>
      </c>
      <c r="D9" s="68">
        <f>'2'!E9</f>
        <v>110.87774751892374</v>
      </c>
      <c r="E9" s="73">
        <f t="shared" si="0"/>
        <v>0.15314619287316394</v>
      </c>
      <c r="F9" s="68">
        <f>145280.96/1000</f>
        <v>145.28095999999999</v>
      </c>
      <c r="G9" s="68">
        <f>'2'!H9</f>
        <v>149.54990827905652</v>
      </c>
      <c r="H9" s="72">
        <f t="shared" si="1"/>
        <v>-2.9384086387208144E-2</v>
      </c>
    </row>
    <row r="10" spans="1:8" x14ac:dyDescent="0.25">
      <c r="A10" s="66">
        <v>6</v>
      </c>
      <c r="B10" s="67" t="s">
        <v>214</v>
      </c>
      <c r="C10" s="68">
        <f>849.5/1000</f>
        <v>0.84950000000000003</v>
      </c>
      <c r="D10" s="68">
        <f>'2'!E10</f>
        <v>3.4953824250000003</v>
      </c>
      <c r="E10" s="73">
        <f t="shared" si="0"/>
        <v>-3.1146349911712776</v>
      </c>
      <c r="F10" s="68">
        <f>1603.27/1000</f>
        <v>1.60327</v>
      </c>
      <c r="G10" s="68">
        <f>'2'!H10</f>
        <v>4.244828525</v>
      </c>
      <c r="H10" s="72">
        <f t="shared" si="1"/>
        <v>-1.6476067817647682</v>
      </c>
    </row>
    <row r="11" spans="1:8" x14ac:dyDescent="0.25">
      <c r="A11" s="66">
        <v>7</v>
      </c>
      <c r="B11" s="67" t="s">
        <v>261</v>
      </c>
      <c r="C11" s="212">
        <f>33845.32/1000</f>
        <v>33.845320000000001</v>
      </c>
      <c r="D11" s="68">
        <f>'1'!P7</f>
        <v>26.724417559999999</v>
      </c>
      <c r="E11" s="71">
        <f>(C11-(D11+D12+D13))/C11</f>
        <v>9.1732914058092058E-2</v>
      </c>
      <c r="F11" s="68">
        <f>42260.97/1000</f>
        <v>42.26097</v>
      </c>
      <c r="G11" s="68">
        <f>'1'!S7</f>
        <v>37.7221377125</v>
      </c>
      <c r="H11" s="72">
        <f t="shared" si="1"/>
        <v>0.10740009724102405</v>
      </c>
    </row>
    <row r="12" spans="1:8" x14ac:dyDescent="0.25">
      <c r="A12" s="66">
        <v>8</v>
      </c>
      <c r="B12" s="67" t="s">
        <v>260</v>
      </c>
      <c r="C12" s="212"/>
      <c r="D12" s="68">
        <f>'1'!P9</f>
        <v>0.29933535917137499</v>
      </c>
      <c r="E12" s="71"/>
      <c r="F12" s="68">
        <f>18217.44/1000</f>
        <v>18.21744</v>
      </c>
      <c r="G12" s="68">
        <f>'1'!S9</f>
        <v>1.14338702502885</v>
      </c>
      <c r="H12" s="72">
        <f t="shared" si="1"/>
        <v>0.93723667952089584</v>
      </c>
    </row>
    <row r="13" spans="1:8" x14ac:dyDescent="0.25">
      <c r="A13" s="66">
        <v>9</v>
      </c>
      <c r="B13" s="67" t="s">
        <v>310</v>
      </c>
      <c r="C13" s="212"/>
      <c r="D13" s="68">
        <f>'1'!P10</f>
        <v>3.7168372499999998</v>
      </c>
      <c r="E13" s="71"/>
      <c r="F13" s="74" t="s">
        <v>264</v>
      </c>
      <c r="G13" s="68">
        <f>'1'!S10</f>
        <v>4.3414642499999996</v>
      </c>
      <c r="H13" s="72"/>
    </row>
    <row r="14" spans="1:8" x14ac:dyDescent="0.25">
      <c r="A14" s="66">
        <v>10</v>
      </c>
      <c r="B14" s="75" t="s">
        <v>234</v>
      </c>
      <c r="C14" s="68">
        <f>1464.74/1000</f>
        <v>1.4647399999999999</v>
      </c>
      <c r="D14" s="68">
        <f>'2'!E12</f>
        <v>6.4098729249999998E-3</v>
      </c>
      <c r="E14" s="76" t="s">
        <v>235</v>
      </c>
      <c r="F14" s="68">
        <f>4315.58/1000</f>
        <v>4.3155799999999997</v>
      </c>
      <c r="G14" s="68">
        <f>'2'!H12</f>
        <v>6.6349394932499986E-2</v>
      </c>
      <c r="H14" s="77" t="s">
        <v>235</v>
      </c>
    </row>
    <row r="15" spans="1:8" x14ac:dyDescent="0.25">
      <c r="A15" s="66">
        <v>11</v>
      </c>
      <c r="B15" s="67" t="s">
        <v>32</v>
      </c>
      <c r="C15" s="68">
        <f>1867.82/1000</f>
        <v>1.86782</v>
      </c>
      <c r="D15" s="68">
        <f>'2'!E13</f>
        <v>6.2076755452802264</v>
      </c>
      <c r="E15" s="69">
        <f t="shared" si="0"/>
        <v>-2.3234870304848574</v>
      </c>
      <c r="F15" s="68">
        <f>2524.65/1000</f>
        <v>2.5246500000000003</v>
      </c>
      <c r="G15" s="68">
        <f>'2'!H13</f>
        <v>9.458765256965</v>
      </c>
      <c r="H15" s="72">
        <f t="shared" si="1"/>
        <v>-2.7465649721604972</v>
      </c>
    </row>
    <row r="16" spans="1:8" x14ac:dyDescent="0.25">
      <c r="A16" s="66">
        <v>12</v>
      </c>
      <c r="B16" s="67" t="s">
        <v>216</v>
      </c>
      <c r="C16" s="68">
        <f>27719.09/1000</f>
        <v>27.719090000000001</v>
      </c>
      <c r="D16" s="68">
        <f>'2'!E14</f>
        <v>2.6223166203835997</v>
      </c>
      <c r="E16" s="71">
        <f t="shared" si="0"/>
        <v>0.90539672765651402</v>
      </c>
      <c r="F16" s="78" t="s">
        <v>264</v>
      </c>
      <c r="G16" s="68">
        <f>'2'!H14</f>
        <v>7.0991605992124249</v>
      </c>
      <c r="H16" s="72" t="str">
        <f t="shared" si="1"/>
        <v/>
      </c>
    </row>
    <row r="17" spans="1:8" x14ac:dyDescent="0.25">
      <c r="A17" s="66">
        <v>13</v>
      </c>
      <c r="B17" s="67" t="s">
        <v>217</v>
      </c>
      <c r="C17" s="68">
        <f>5247.59/1000</f>
        <v>5.2475899999999998</v>
      </c>
      <c r="D17" s="68">
        <f>'2'!E15</f>
        <v>6.0723287585247494</v>
      </c>
      <c r="E17" s="69">
        <f t="shared" si="0"/>
        <v>-0.15716524319254166</v>
      </c>
      <c r="F17" s="68">
        <f>6755.88/1000</f>
        <v>6.7558800000000003</v>
      </c>
      <c r="G17" s="68">
        <f>'2'!H15</f>
        <v>8.6721290400000015</v>
      </c>
      <c r="H17" s="72">
        <f t="shared" si="1"/>
        <v>-0.28364166326222506</v>
      </c>
    </row>
    <row r="18" spans="1:8" x14ac:dyDescent="0.25">
      <c r="A18" s="66">
        <v>14</v>
      </c>
      <c r="B18" s="67" t="s">
        <v>36</v>
      </c>
      <c r="C18" s="74" t="s">
        <v>264</v>
      </c>
      <c r="D18" s="68">
        <f>'2'!E16</f>
        <v>0.84201086982337481</v>
      </c>
      <c r="E18" s="73"/>
      <c r="F18" s="74" t="s">
        <v>264</v>
      </c>
      <c r="G18" s="68">
        <f>'2'!H16</f>
        <v>2.0822205119079999</v>
      </c>
      <c r="H18" s="72" t="str">
        <f t="shared" si="1"/>
        <v/>
      </c>
    </row>
    <row r="19" spans="1:8" x14ac:dyDescent="0.25">
      <c r="A19" s="66">
        <v>15</v>
      </c>
      <c r="B19" s="67" t="s">
        <v>218</v>
      </c>
      <c r="C19" s="74" t="s">
        <v>264</v>
      </c>
      <c r="D19" s="68">
        <f>'2'!E17</f>
        <v>8.6359036112450008E-2</v>
      </c>
      <c r="E19" s="73"/>
      <c r="F19" s="74" t="s">
        <v>264</v>
      </c>
      <c r="G19" s="68">
        <f>'2'!H17</f>
        <v>0.25664215472500002</v>
      </c>
      <c r="H19" s="72" t="str">
        <f t="shared" si="1"/>
        <v/>
      </c>
    </row>
    <row r="20" spans="1:8" x14ac:dyDescent="0.25">
      <c r="A20" s="66">
        <v>16</v>
      </c>
      <c r="B20" s="75" t="s">
        <v>236</v>
      </c>
      <c r="C20" s="74" t="s">
        <v>264</v>
      </c>
      <c r="D20" s="68">
        <f>'2'!E18</f>
        <v>1.4220496750000001E-4</v>
      </c>
      <c r="E20" s="73" t="s">
        <v>235</v>
      </c>
      <c r="F20" s="74" t="s">
        <v>264</v>
      </c>
      <c r="G20" s="68">
        <f>'2'!H18</f>
        <v>1.3234024050000001E-3</v>
      </c>
      <c r="H20" s="77" t="s">
        <v>235</v>
      </c>
    </row>
    <row r="21" spans="1:8" x14ac:dyDescent="0.25">
      <c r="A21" s="66">
        <v>17</v>
      </c>
      <c r="B21" s="67" t="s">
        <v>37</v>
      </c>
      <c r="C21" s="74" t="s">
        <v>264</v>
      </c>
      <c r="D21" s="68">
        <f>'2'!E19</f>
        <v>3.9510679123694743</v>
      </c>
      <c r="E21" s="73"/>
      <c r="F21" s="74" t="s">
        <v>264</v>
      </c>
      <c r="G21" s="68">
        <f>'2'!H19</f>
        <v>9.5460298404558994</v>
      </c>
      <c r="H21" s="72" t="str">
        <f t="shared" si="1"/>
        <v/>
      </c>
    </row>
    <row r="22" spans="1:8" x14ac:dyDescent="0.25">
      <c r="A22" s="66">
        <v>18</v>
      </c>
      <c r="B22" s="75" t="s">
        <v>252</v>
      </c>
      <c r="C22" s="74" t="s">
        <v>264</v>
      </c>
      <c r="D22" s="68">
        <f>'2'!E20</f>
        <v>7.6846500465125034E-2</v>
      </c>
      <c r="E22" s="73"/>
      <c r="F22" s="74" t="s">
        <v>264</v>
      </c>
      <c r="G22" s="68">
        <f>'2'!H20</f>
        <v>1.275020990325</v>
      </c>
      <c r="H22" s="72" t="str">
        <f t="shared" si="1"/>
        <v/>
      </c>
    </row>
    <row r="23" spans="1:8" x14ac:dyDescent="0.25">
      <c r="A23" s="66">
        <v>19</v>
      </c>
      <c r="B23" s="79" t="s">
        <v>237</v>
      </c>
      <c r="C23" s="74">
        <f>88220.88/1000</f>
        <v>88.220880000000008</v>
      </c>
      <c r="D23" s="68" t="s">
        <v>265</v>
      </c>
      <c r="E23" s="73"/>
      <c r="F23" s="74">
        <f>134740.8/1000</f>
        <v>134.74079999999998</v>
      </c>
      <c r="G23" s="68" t="s">
        <v>265</v>
      </c>
      <c r="H23" s="72" t="str">
        <f t="shared" si="1"/>
        <v/>
      </c>
    </row>
    <row r="24" spans="1:8" x14ac:dyDescent="0.25">
      <c r="A24" s="99"/>
      <c r="B24" s="100" t="s">
        <v>238</v>
      </c>
      <c r="C24" s="101">
        <f>SUM(C5:C23)</f>
        <v>446.20161000000002</v>
      </c>
      <c r="D24" s="101">
        <f>SUM(D5:D23)</f>
        <v>354.87203832893607</v>
      </c>
      <c r="E24" s="102">
        <f>(C24-D24)/C24</f>
        <v>0.20468229971439131</v>
      </c>
      <c r="F24" s="101">
        <f>SUM(F5:F23)</f>
        <v>496.69120999999996</v>
      </c>
      <c r="G24" s="101">
        <f>SUM(G5:G22)</f>
        <v>509.43920234943687</v>
      </c>
      <c r="H24" s="103">
        <f t="shared" si="1"/>
        <v>-2.5665830384711086E-2</v>
      </c>
    </row>
    <row r="25" spans="1:8" x14ac:dyDescent="0.25">
      <c r="A25" s="80"/>
      <c r="B25" s="81" t="s">
        <v>239</v>
      </c>
      <c r="C25" s="82"/>
      <c r="D25" s="83">
        <f>1-(D24/C24)</f>
        <v>0.20468229971439134</v>
      </c>
      <c r="E25" s="84"/>
      <c r="F25" s="84"/>
      <c r="G25" s="85">
        <f>1-(G24/F24)</f>
        <v>-2.5665830384711041E-2</v>
      </c>
      <c r="H25" s="86"/>
    </row>
    <row r="26" spans="1:8" x14ac:dyDescent="0.25">
      <c r="A26" s="10"/>
      <c r="B26" s="10"/>
      <c r="C26" s="10"/>
      <c r="D26" s="87"/>
      <c r="E26" s="88"/>
      <c r="F26" s="10"/>
      <c r="G26" s="10"/>
    </row>
    <row r="27" spans="1:8" x14ac:dyDescent="0.25">
      <c r="A27" s="10"/>
      <c r="B27" s="10"/>
      <c r="C27" s="10"/>
      <c r="D27" s="10"/>
      <c r="E27" s="10"/>
      <c r="F27" s="10"/>
      <c r="G27" s="10"/>
    </row>
    <row r="28" spans="1:8" ht="30" x14ac:dyDescent="0.25">
      <c r="A28" s="10"/>
      <c r="B28" s="89" t="s">
        <v>240</v>
      </c>
      <c r="C28" s="90">
        <f>C5+C7+C11</f>
        <v>153.61246</v>
      </c>
      <c r="D28" s="90">
        <f>D5+D7+D12</f>
        <v>142.73481410358318</v>
      </c>
      <c r="E28" s="91">
        <f t="shared" ref="E28" si="2">(C28-D28)/C28</f>
        <v>7.0812262862119543E-2</v>
      </c>
      <c r="F28" s="90">
        <f>F5+F7+F11</f>
        <v>141.98595</v>
      </c>
      <c r="G28" s="90">
        <f>G5+G7+G12</f>
        <v>208.25048972339431</v>
      </c>
      <c r="H28" s="91">
        <f t="shared" ref="H28" si="3">(F28-G28)/F28</f>
        <v>-0.46669786498871407</v>
      </c>
    </row>
    <row r="29" spans="1:8" x14ac:dyDescent="0.25">
      <c r="A29" s="10"/>
      <c r="B29" s="10"/>
      <c r="C29" s="10"/>
      <c r="D29" s="10"/>
      <c r="E29" s="10"/>
      <c r="F29" s="10"/>
      <c r="G29" s="10"/>
    </row>
    <row r="30" spans="1:8" ht="30" x14ac:dyDescent="0.25">
      <c r="A30" s="153" t="s">
        <v>311</v>
      </c>
      <c r="B30" s="10" t="s">
        <v>312</v>
      </c>
      <c r="C30" s="10"/>
      <c r="D30" s="10"/>
      <c r="E30" s="10"/>
      <c r="F30" s="10"/>
      <c r="G30" s="10"/>
    </row>
    <row r="31" spans="1:8" x14ac:dyDescent="0.25">
      <c r="A31" s="92" t="s">
        <v>235</v>
      </c>
      <c r="B31" s="92" t="s">
        <v>241</v>
      </c>
      <c r="C31" s="10"/>
      <c r="D31" s="10"/>
      <c r="E31" s="10"/>
      <c r="F31" s="10"/>
      <c r="G31" s="10"/>
    </row>
    <row r="32" spans="1:8" x14ac:dyDescent="0.25">
      <c r="A32" s="92" t="s">
        <v>242</v>
      </c>
      <c r="B32" s="92" t="s">
        <v>243</v>
      </c>
      <c r="C32" s="10"/>
      <c r="D32" s="10"/>
      <c r="E32" s="10"/>
      <c r="F32" s="10"/>
      <c r="G32" s="10"/>
    </row>
    <row r="33" spans="1:7" x14ac:dyDescent="0.25">
      <c r="A33" s="10" t="s">
        <v>244</v>
      </c>
      <c r="B33" s="92" t="s">
        <v>253</v>
      </c>
      <c r="C33" s="10"/>
      <c r="D33" s="10"/>
      <c r="E33" s="10"/>
      <c r="F33" s="10"/>
      <c r="G33" s="10"/>
    </row>
    <row r="34" spans="1:7" x14ac:dyDescent="0.25">
      <c r="A34" s="10"/>
      <c r="B34" s="93" t="s">
        <v>245</v>
      </c>
      <c r="C34" s="10"/>
      <c r="D34" s="10"/>
      <c r="E34" s="10"/>
      <c r="F34" s="10"/>
      <c r="G34" s="10"/>
    </row>
    <row r="35" spans="1:7" x14ac:dyDescent="0.25">
      <c r="B35" s="94" t="s">
        <v>246</v>
      </c>
    </row>
    <row r="36" spans="1:7" x14ac:dyDescent="0.25">
      <c r="B36" s="94" t="s">
        <v>247</v>
      </c>
    </row>
    <row r="37" spans="1:7" x14ac:dyDescent="0.25">
      <c r="B37" s="94" t="s">
        <v>248</v>
      </c>
    </row>
    <row r="38" spans="1:7" x14ac:dyDescent="0.25">
      <c r="B38" s="94" t="s">
        <v>249</v>
      </c>
    </row>
    <row r="39" spans="1:7" x14ac:dyDescent="0.25">
      <c r="B39" s="94" t="s">
        <v>250</v>
      </c>
    </row>
    <row r="40" spans="1:7" x14ac:dyDescent="0.25">
      <c r="B40" s="94" t="s">
        <v>251</v>
      </c>
    </row>
    <row r="42" spans="1:7" x14ac:dyDescent="0.25">
      <c r="A42" s="95" t="s">
        <v>264</v>
      </c>
      <c r="B42" s="95" t="s">
        <v>266</v>
      </c>
    </row>
    <row r="43" spans="1:7" x14ac:dyDescent="0.25">
      <c r="A43" s="95" t="s">
        <v>265</v>
      </c>
      <c r="B43" s="95" t="s">
        <v>267</v>
      </c>
    </row>
  </sheetData>
  <mergeCells count="4">
    <mergeCell ref="A3:B3"/>
    <mergeCell ref="E3:E4"/>
    <mergeCell ref="H3:H4"/>
    <mergeCell ref="C11:C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
  <sheetViews>
    <sheetView zoomScale="54" zoomScaleNormal="54" workbookViewId="0">
      <selection activeCell="C15" sqref="C15"/>
    </sheetView>
  </sheetViews>
  <sheetFormatPr defaultColWidth="11.42578125" defaultRowHeight="15" x14ac:dyDescent="0.25"/>
  <cols>
    <col min="1" max="2" width="11.42578125" style="9"/>
    <col min="3" max="3" width="17.42578125" style="9" customWidth="1"/>
    <col min="4" max="16384" width="11.42578125" style="9"/>
  </cols>
  <sheetData>
    <row r="1" spans="2:7" x14ac:dyDescent="0.25">
      <c r="B1" s="104" t="s">
        <v>281</v>
      </c>
    </row>
    <row r="2" spans="2:7" x14ac:dyDescent="0.25">
      <c r="B2" s="48"/>
    </row>
    <row r="3" spans="2:7" ht="45" x14ac:dyDescent="0.25">
      <c r="B3" s="147" t="s">
        <v>195</v>
      </c>
      <c r="C3" s="148" t="s">
        <v>285</v>
      </c>
      <c r="D3" s="149" t="s">
        <v>271</v>
      </c>
      <c r="E3" s="149" t="s">
        <v>272</v>
      </c>
    </row>
    <row r="4" spans="2:7" x14ac:dyDescent="0.25">
      <c r="B4" s="105">
        <v>2005</v>
      </c>
      <c r="C4" s="106">
        <f>'1'!N103</f>
        <v>315.4412719569055</v>
      </c>
      <c r="D4" s="107"/>
      <c r="E4" s="56"/>
      <c r="G4" s="47"/>
    </row>
    <row r="5" spans="2:7" x14ac:dyDescent="0.25">
      <c r="B5" s="105">
        <v>2006</v>
      </c>
      <c r="C5" s="106">
        <f>'1'!O103</f>
        <v>310.88589586801737</v>
      </c>
      <c r="D5" s="107"/>
      <c r="E5" s="56"/>
      <c r="G5" s="47"/>
    </row>
    <row r="6" spans="2:7" x14ac:dyDescent="0.25">
      <c r="B6" s="108">
        <v>2007</v>
      </c>
      <c r="C6" s="109">
        <f>'1'!P103</f>
        <v>354.87203832893607</v>
      </c>
      <c r="D6" s="57">
        <f>446201.61/1000</f>
        <v>446.20160999999996</v>
      </c>
      <c r="E6" s="56"/>
    </row>
    <row r="7" spans="2:7" x14ac:dyDescent="0.25">
      <c r="B7" s="108">
        <v>2008</v>
      </c>
      <c r="C7" s="109">
        <f>'1'!Q103</f>
        <v>416.80874485190816</v>
      </c>
      <c r="D7" s="56"/>
      <c r="E7" s="56"/>
    </row>
    <row r="8" spans="2:7" x14ac:dyDescent="0.25">
      <c r="B8" s="108">
        <v>2009</v>
      </c>
      <c r="C8" s="109">
        <f>'1'!R103</f>
        <v>439.20629499135703</v>
      </c>
      <c r="D8" s="56"/>
      <c r="E8" s="56"/>
    </row>
    <row r="9" spans="2:7" x14ac:dyDescent="0.25">
      <c r="B9" s="108">
        <v>2010</v>
      </c>
      <c r="C9" s="109">
        <f>'1'!S103</f>
        <v>509.43920234943687</v>
      </c>
      <c r="D9" s="56"/>
      <c r="E9" s="57">
        <f>496698.37/1000</f>
        <v>496.69837000000001</v>
      </c>
    </row>
    <row r="10" spans="2:7" x14ac:dyDescent="0.25">
      <c r="B10" s="108">
        <v>2011</v>
      </c>
      <c r="C10" s="109">
        <f>'1'!T103</f>
        <v>538.94607821998852</v>
      </c>
      <c r="D10" s="56"/>
      <c r="E10" s="56"/>
    </row>
    <row r="11" spans="2:7" x14ac:dyDescent="0.25">
      <c r="B11" s="108">
        <v>2012</v>
      </c>
      <c r="C11" s="109">
        <f>'1'!U103</f>
        <v>578.73098428972298</v>
      </c>
      <c r="D11" s="56"/>
      <c r="E11" s="56"/>
    </row>
    <row r="12" spans="2:7" x14ac:dyDescent="0.25">
      <c r="B12" s="108">
        <v>2013</v>
      </c>
      <c r="C12" s="109">
        <f>'1'!V103</f>
        <v>622.5749828581263</v>
      </c>
      <c r="D12" s="56"/>
      <c r="E12" s="56"/>
    </row>
    <row r="15" spans="2:7" x14ac:dyDescent="0.25">
      <c r="B15" s="150" t="s">
        <v>205</v>
      </c>
      <c r="C15" s="151">
        <f>((C12/C4)^(1/8))-1</f>
        <v>8.8702308366005678E-2</v>
      </c>
    </row>
    <row r="19" spans="3:3" x14ac:dyDescent="0.25">
      <c r="C19" s="110"/>
    </row>
    <row r="20" spans="3:3" x14ac:dyDescent="0.25">
      <c r="C20" s="110"/>
    </row>
  </sheetData>
  <pageMargins left="0.7" right="0.7" top="0.75" bottom="0.75" header="0.3" footer="0.3"/>
  <pageSetup paperSize="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86" zoomScaleNormal="86" workbookViewId="0">
      <selection activeCell="G27" sqref="G27"/>
    </sheetView>
  </sheetViews>
  <sheetFormatPr defaultColWidth="8.85546875" defaultRowHeight="15" x14ac:dyDescent="0.25"/>
  <cols>
    <col min="1" max="1" width="26.7109375" style="9" customWidth="1"/>
    <col min="2" max="2" width="13.7109375" style="9" bestFit="1" customWidth="1"/>
    <col min="3" max="3" width="14.140625" style="9" bestFit="1" customWidth="1"/>
    <col min="4" max="4" width="13.7109375" style="9" bestFit="1" customWidth="1"/>
    <col min="5" max="9" width="13.28515625" style="9" bestFit="1" customWidth="1"/>
    <col min="10" max="11" width="14.140625" style="9" bestFit="1" customWidth="1"/>
    <col min="12" max="12" width="21.5703125" style="9" customWidth="1"/>
    <col min="13" max="13" width="25.5703125" style="9" customWidth="1"/>
    <col min="14" max="14" width="20" style="9" customWidth="1"/>
    <col min="15" max="15" width="22.42578125" style="9" customWidth="1"/>
    <col min="16" max="17" width="21.5703125" style="9" customWidth="1"/>
    <col min="18" max="18" width="25.5703125" style="9" customWidth="1"/>
    <col min="19" max="19" width="20" style="9" customWidth="1"/>
    <col min="20" max="20" width="22.42578125" style="9" customWidth="1"/>
    <col min="21" max="22" width="21.5703125" style="9" customWidth="1"/>
    <col min="23" max="23" width="25.5703125" style="9" customWidth="1"/>
    <col min="24" max="24" width="20" style="9" customWidth="1"/>
    <col min="25" max="25" width="22.42578125" style="9" customWidth="1"/>
    <col min="26" max="27" width="21.5703125" style="9" customWidth="1"/>
    <col min="28" max="28" width="22.85546875" style="9" customWidth="1"/>
    <col min="29" max="29" width="23.140625" style="9" customWidth="1"/>
    <col min="30" max="30" width="23.42578125" style="9" customWidth="1"/>
    <col min="31" max="31" width="22" style="9" customWidth="1"/>
    <col min="32" max="32" width="25" style="9" customWidth="1"/>
    <col min="33" max="33" width="24.140625" style="9" customWidth="1"/>
    <col min="34" max="34" width="22.42578125" style="9" customWidth="1"/>
    <col min="35" max="35" width="22" style="9" customWidth="1"/>
    <col min="36" max="36" width="23.42578125" style="9" customWidth="1"/>
    <col min="37" max="37" width="22.85546875" style="9" customWidth="1"/>
    <col min="38" max="16384" width="8.85546875" style="9"/>
  </cols>
  <sheetData>
    <row r="1" spans="1:11" x14ac:dyDescent="0.25">
      <c r="A1" s="112" t="s">
        <v>282</v>
      </c>
      <c r="B1" s="104"/>
      <c r="C1" s="104"/>
    </row>
    <row r="2" spans="1:11" ht="15" customHeight="1" x14ac:dyDescent="0.25">
      <c r="A2" s="113"/>
      <c r="B2" s="114" t="s">
        <v>288</v>
      </c>
      <c r="C2" s="114" t="s">
        <v>289</v>
      </c>
      <c r="D2" s="114" t="s">
        <v>194</v>
      </c>
      <c r="E2" s="114" t="s">
        <v>193</v>
      </c>
      <c r="F2" s="114" t="s">
        <v>200</v>
      </c>
      <c r="G2" s="114" t="s">
        <v>198</v>
      </c>
      <c r="H2" s="114" t="s">
        <v>199</v>
      </c>
      <c r="I2" s="114" t="s">
        <v>201</v>
      </c>
      <c r="J2" s="114" t="s">
        <v>192</v>
      </c>
      <c r="K2" s="114" t="s">
        <v>287</v>
      </c>
    </row>
    <row r="3" spans="1:11" x14ac:dyDescent="0.25">
      <c r="A3" s="115" t="s">
        <v>188</v>
      </c>
      <c r="B3" s="213" t="s">
        <v>286</v>
      </c>
      <c r="C3" s="213"/>
      <c r="D3" s="213"/>
      <c r="E3" s="213"/>
      <c r="F3" s="213"/>
      <c r="G3" s="213"/>
      <c r="H3" s="213"/>
      <c r="I3" s="213"/>
      <c r="J3" s="213"/>
      <c r="K3" s="213"/>
    </row>
    <row r="4" spans="1:11" x14ac:dyDescent="0.25">
      <c r="A4" s="116" t="s">
        <v>4</v>
      </c>
      <c r="B4" s="117">
        <v>22620647</v>
      </c>
      <c r="C4" s="117">
        <v>26800482</v>
      </c>
      <c r="D4" s="118">
        <v>26251550.73</v>
      </c>
      <c r="E4" s="118">
        <v>28143018.050000001</v>
      </c>
      <c r="F4" s="118">
        <v>36623154</v>
      </c>
      <c r="G4" s="118">
        <v>36918569.710000001</v>
      </c>
      <c r="H4" s="118">
        <v>40132841.719999999</v>
      </c>
      <c r="I4" s="118">
        <v>46120748</v>
      </c>
      <c r="J4" s="118">
        <v>37319326.590000004</v>
      </c>
      <c r="K4" s="118">
        <v>43770472.5</v>
      </c>
    </row>
    <row r="5" spans="1:11" x14ac:dyDescent="0.25">
      <c r="A5" s="116" t="s">
        <v>6</v>
      </c>
      <c r="B5" s="117">
        <v>109548.9962621</v>
      </c>
      <c r="C5" s="117">
        <v>741837.07467619993</v>
      </c>
      <c r="D5" s="118">
        <v>105682.55425849999</v>
      </c>
      <c r="E5" s="118">
        <v>880293.77390999999</v>
      </c>
      <c r="F5" s="118">
        <v>-906354.99252219999</v>
      </c>
      <c r="G5" s="118">
        <v>1242334.1653718001</v>
      </c>
      <c r="H5" s="118">
        <v>846545.60399999993</v>
      </c>
      <c r="I5" s="118">
        <v>1010770.3783999999</v>
      </c>
      <c r="J5" s="118">
        <v>1612848.5134000003</v>
      </c>
      <c r="K5" s="118">
        <v>2555494.4054</v>
      </c>
    </row>
    <row r="6" spans="1:11" x14ac:dyDescent="0.25">
      <c r="A6" s="116" t="s">
        <v>7</v>
      </c>
      <c r="B6" s="117">
        <v>3602670</v>
      </c>
      <c r="C6" s="117">
        <v>3992634</v>
      </c>
      <c r="D6" s="118">
        <v>3686883</v>
      </c>
      <c r="E6" s="118">
        <v>3806700</v>
      </c>
      <c r="F6" s="118">
        <v>3999748</v>
      </c>
      <c r="G6" s="118">
        <v>4244811</v>
      </c>
      <c r="H6" s="118">
        <v>4631424</v>
      </c>
      <c r="I6" s="118">
        <v>4855892</v>
      </c>
      <c r="J6" s="118">
        <v>5651778.2000000002</v>
      </c>
      <c r="K6" s="118">
        <v>5138926.1900000004</v>
      </c>
    </row>
    <row r="7" spans="1:11" x14ac:dyDescent="0.25">
      <c r="A7" s="116" t="s">
        <v>8</v>
      </c>
      <c r="B7" s="117">
        <v>108028117.95939152</v>
      </c>
      <c r="C7" s="117">
        <v>95400244.83982411</v>
      </c>
      <c r="D7" s="118">
        <v>124806986.47840001</v>
      </c>
      <c r="E7" s="118">
        <v>172902839.91244715</v>
      </c>
      <c r="F7" s="118">
        <v>146697676.72311002</v>
      </c>
      <c r="G7" s="118">
        <v>198127009.91856998</v>
      </c>
      <c r="H7" s="118">
        <v>208741189.75175202</v>
      </c>
      <c r="I7" s="118">
        <v>208773997.79262999</v>
      </c>
      <c r="J7" s="118">
        <v>220756796.77110404</v>
      </c>
      <c r="K7" s="118">
        <v>229410756.07395178</v>
      </c>
    </row>
    <row r="8" spans="1:11" x14ac:dyDescent="0.25">
      <c r="A8" s="116" t="s">
        <v>9</v>
      </c>
      <c r="B8" s="117">
        <v>17942792.38594</v>
      </c>
      <c r="C8" s="117">
        <v>4559221.6450750008</v>
      </c>
      <c r="D8" s="118">
        <v>5009525.177699998</v>
      </c>
      <c r="E8" s="118">
        <v>7836286.7280000001</v>
      </c>
      <c r="F8" s="118">
        <v>13860701.604814298</v>
      </c>
      <c r="G8" s="118">
        <v>6684814.9059999958</v>
      </c>
      <c r="H8" s="118">
        <v>20939050.651449703</v>
      </c>
      <c r="I8" s="118">
        <v>27929964.642410003</v>
      </c>
      <c r="J8" s="118">
        <v>46248295.521009997</v>
      </c>
      <c r="K8" s="118">
        <v>31139242.405990005</v>
      </c>
    </row>
    <row r="9" spans="1:11" x14ac:dyDescent="0.25">
      <c r="A9" s="116" t="s">
        <v>10</v>
      </c>
      <c r="B9" s="117">
        <v>9433028.4646899998</v>
      </c>
      <c r="C9" s="117">
        <v>3791997.4451094</v>
      </c>
      <c r="D9" s="118">
        <v>3697796.1309999996</v>
      </c>
      <c r="E9" s="118">
        <v>14640662.4482104</v>
      </c>
      <c r="F9" s="118">
        <v>13572449.08006</v>
      </c>
      <c r="G9" s="118">
        <v>18157078.449000001</v>
      </c>
      <c r="H9" s="118">
        <v>13140671.317179</v>
      </c>
      <c r="I9" s="118">
        <v>17516196.675950002</v>
      </c>
      <c r="J9" s="118">
        <v>30954133.625211004</v>
      </c>
      <c r="K9" s="118">
        <v>41695911.383781001</v>
      </c>
    </row>
    <row r="10" spans="1:11" x14ac:dyDescent="0.25">
      <c r="A10" s="116" t="s">
        <v>12</v>
      </c>
      <c r="B10" s="117">
        <v>6125006.3000000007</v>
      </c>
      <c r="C10" s="117">
        <v>6946848.1082502995</v>
      </c>
      <c r="D10" s="118">
        <v>5962676.3999999985</v>
      </c>
      <c r="E10" s="118">
        <v>6401285.8340990003</v>
      </c>
      <c r="F10" s="118">
        <v>7652464.6699999999</v>
      </c>
      <c r="G10" s="118">
        <v>9015126.6100000013</v>
      </c>
      <c r="H10" s="118">
        <v>7643136.3299999982</v>
      </c>
      <c r="I10" s="118">
        <v>8976284.7139999997</v>
      </c>
      <c r="J10" s="118">
        <v>11536695.7327</v>
      </c>
      <c r="K10" s="118">
        <v>11072728.975679999</v>
      </c>
    </row>
    <row r="11" spans="1:11" x14ac:dyDescent="0.25">
      <c r="A11" s="116" t="s">
        <v>13</v>
      </c>
      <c r="B11" s="117">
        <v>4984017.0507724006</v>
      </c>
      <c r="C11" s="117">
        <v>5492450.3494111998</v>
      </c>
      <c r="D11" s="118">
        <v>2701841.4721009</v>
      </c>
      <c r="E11" s="118">
        <v>2383742.0652316995</v>
      </c>
      <c r="F11" s="118">
        <v>5239725.8899999997</v>
      </c>
      <c r="G11" s="118">
        <v>7795045.6546698995</v>
      </c>
      <c r="H11" s="118">
        <v>5011505.4328399999</v>
      </c>
      <c r="I11" s="118">
        <v>3785802.9387100004</v>
      </c>
      <c r="J11" s="118">
        <v>4676684.4559300002</v>
      </c>
      <c r="K11" s="118">
        <v>5681920.0053000003</v>
      </c>
    </row>
    <row r="12" spans="1:11" x14ac:dyDescent="0.25">
      <c r="A12" s="116" t="s">
        <v>14</v>
      </c>
      <c r="B12" s="117">
        <v>40131250.265999995</v>
      </c>
      <c r="C12" s="117">
        <v>40312842.918510005</v>
      </c>
      <c r="D12" s="118">
        <v>42704489.989100002</v>
      </c>
      <c r="E12" s="118">
        <v>51775020.668352</v>
      </c>
      <c r="F12" s="118">
        <v>56818896.1721</v>
      </c>
      <c r="G12" s="118">
        <v>62709801.558899999</v>
      </c>
      <c r="H12" s="118">
        <v>68132940.107999995</v>
      </c>
      <c r="I12" s="118">
        <v>68401618.983499989</v>
      </c>
      <c r="J12" s="118">
        <v>80299404.845660001</v>
      </c>
      <c r="K12" s="118">
        <v>82736781.229000002</v>
      </c>
    </row>
    <row r="13" spans="1:11" x14ac:dyDescent="0.25">
      <c r="A13" s="116" t="s">
        <v>15</v>
      </c>
      <c r="B13" s="117">
        <v>630007.91979199997</v>
      </c>
      <c r="C13" s="117">
        <v>737780.55077999982</v>
      </c>
      <c r="D13" s="118">
        <v>790725.52639289969</v>
      </c>
      <c r="E13" s="118">
        <v>995866.90011479997</v>
      </c>
      <c r="F13" s="118">
        <v>1604548.0656009999</v>
      </c>
      <c r="G13" s="118">
        <v>1858958.6461999998</v>
      </c>
      <c r="H13" s="118">
        <v>2752006.1090319995</v>
      </c>
      <c r="I13" s="118">
        <v>2108303.1426999997</v>
      </c>
      <c r="J13" s="118">
        <v>2432340.1168869995</v>
      </c>
      <c r="K13" s="118">
        <v>8800580.1520619988</v>
      </c>
    </row>
    <row r="14" spans="1:11" x14ac:dyDescent="0.25">
      <c r="A14" s="116" t="s">
        <v>16</v>
      </c>
      <c r="B14" s="117">
        <v>3349209.8317869999</v>
      </c>
      <c r="C14" s="117">
        <v>3301697.5725157997</v>
      </c>
      <c r="D14" s="118">
        <v>3891200.9168953001</v>
      </c>
      <c r="E14" s="118">
        <v>4130668.898792</v>
      </c>
      <c r="F14" s="118">
        <v>2729268.9726613006</v>
      </c>
      <c r="G14" s="118">
        <v>12182722.622000001</v>
      </c>
      <c r="H14" s="118">
        <v>1635951.4958235994</v>
      </c>
      <c r="I14" s="118">
        <v>3897523.2609600001</v>
      </c>
      <c r="J14" s="118">
        <v>9712661.7166230008</v>
      </c>
      <c r="K14" s="118">
        <v>9377711.8693000004</v>
      </c>
    </row>
    <row r="15" spans="1:11" x14ac:dyDescent="0.25">
      <c r="A15" s="116" t="s">
        <v>17</v>
      </c>
      <c r="B15" s="117">
        <v>21770.362399999998</v>
      </c>
      <c r="C15" s="117">
        <v>23223.412</v>
      </c>
      <c r="D15" s="118">
        <v>5564.2389000000003</v>
      </c>
      <c r="E15" s="118">
        <v>8946.7750000000015</v>
      </c>
      <c r="F15" s="118">
        <v>17990.139877699999</v>
      </c>
      <c r="G15" s="118">
        <v>70390.866999999998</v>
      </c>
      <c r="H15" s="118">
        <v>54224.978729999995</v>
      </c>
      <c r="I15" s="118">
        <v>59860.128179999992</v>
      </c>
      <c r="J15" s="118">
        <v>39770.438900000001</v>
      </c>
      <c r="K15" s="118">
        <v>16463.010000000002</v>
      </c>
    </row>
    <row r="16" spans="1:11" x14ac:dyDescent="0.25">
      <c r="A16" s="116" t="s">
        <v>18</v>
      </c>
      <c r="B16" s="117">
        <v>141084.19</v>
      </c>
      <c r="C16" s="117">
        <v>120675.87999999998</v>
      </c>
      <c r="D16" s="118">
        <v>123094.48481660002</v>
      </c>
      <c r="E16" s="118">
        <v>-23847.309999999998</v>
      </c>
      <c r="F16" s="118">
        <v>134080.27799999999</v>
      </c>
      <c r="G16" s="118">
        <v>257997.14629999999</v>
      </c>
      <c r="H16" s="118">
        <v>252577.18</v>
      </c>
      <c r="I16" s="118">
        <v>215827.41700000002</v>
      </c>
      <c r="J16" s="118">
        <v>355959.91572000005</v>
      </c>
      <c r="K16" s="118">
        <v>184938.76070760001</v>
      </c>
    </row>
    <row r="17" spans="1:11" x14ac:dyDescent="0.25">
      <c r="A17" s="116" t="s">
        <v>19</v>
      </c>
      <c r="B17" s="117"/>
      <c r="C17" s="117"/>
      <c r="D17" s="118">
        <v>-0.28770059999999997</v>
      </c>
      <c r="E17" s="118">
        <v>569.68297180000002</v>
      </c>
      <c r="F17" s="118">
        <v>792714.32675999985</v>
      </c>
      <c r="G17" s="118">
        <v>1808.6778400000001</v>
      </c>
      <c r="H17" s="118">
        <v>-132.4239</v>
      </c>
      <c r="I17" s="118">
        <v>-37.114519999999999</v>
      </c>
      <c r="J17" s="118">
        <v>10200.163001999999</v>
      </c>
      <c r="K17" s="118">
        <v>309.83242200000001</v>
      </c>
    </row>
    <row r="18" spans="1:11" x14ac:dyDescent="0.25">
      <c r="A18" s="116" t="s">
        <v>20</v>
      </c>
      <c r="B18" s="117">
        <v>5474655.6328989994</v>
      </c>
      <c r="C18" s="117">
        <v>4844797.3749610996</v>
      </c>
      <c r="D18" s="118">
        <v>5382972.0208533015</v>
      </c>
      <c r="E18" s="118">
        <v>8681786.1185609996</v>
      </c>
      <c r="F18" s="118">
        <v>8995796.8559999987</v>
      </c>
      <c r="G18" s="118">
        <v>9202630.1689999998</v>
      </c>
      <c r="H18" s="118">
        <v>10227170.520859998</v>
      </c>
      <c r="I18" s="118">
        <v>12132674.629799999</v>
      </c>
      <c r="J18" s="118">
        <v>5780885.4057999989</v>
      </c>
      <c r="K18" s="118">
        <v>14091265.899999999</v>
      </c>
    </row>
    <row r="19" spans="1:11" x14ac:dyDescent="0.25">
      <c r="A19" s="116" t="s">
        <v>21</v>
      </c>
      <c r="B19" s="117">
        <v>183874.20683900002</v>
      </c>
      <c r="C19" s="117">
        <v>2336006.4222989003</v>
      </c>
      <c r="D19" s="118">
        <v>114996.73361260003</v>
      </c>
      <c r="E19" s="118">
        <v>-37604.198977299973</v>
      </c>
      <c r="F19" s="118">
        <v>-765106.28308730002</v>
      </c>
      <c r="G19" s="118">
        <v>1386393.4986999999</v>
      </c>
      <c r="H19" s="118">
        <v>940903.46520000009</v>
      </c>
      <c r="I19" s="118">
        <v>1858449.1605999998</v>
      </c>
      <c r="J19" s="118">
        <v>3000777.6684699999</v>
      </c>
      <c r="K19" s="118">
        <v>2031329.5444999998</v>
      </c>
    </row>
    <row r="20" spans="1:11" x14ac:dyDescent="0.25">
      <c r="A20" s="119" t="s">
        <v>190</v>
      </c>
      <c r="B20" s="120">
        <f t="shared" ref="B20:J20" si="0">SUM(B4:B19)</f>
        <v>222777680.566773</v>
      </c>
      <c r="C20" s="120">
        <f t="shared" si="0"/>
        <v>199402739.59341201</v>
      </c>
      <c r="D20" s="120">
        <f t="shared" si="0"/>
        <v>225235985.5663296</v>
      </c>
      <c r="E20" s="120">
        <f>SUM(E4:E19)</f>
        <v>302526236.34671253</v>
      </c>
      <c r="F20" s="120">
        <f t="shared" si="0"/>
        <v>297067753.50337476</v>
      </c>
      <c r="G20" s="120">
        <f t="shared" si="0"/>
        <v>369855493.59955168</v>
      </c>
      <c r="H20" s="120">
        <f t="shared" si="0"/>
        <v>385082006.24096632</v>
      </c>
      <c r="I20" s="120">
        <f t="shared" si="0"/>
        <v>407643876.75031996</v>
      </c>
      <c r="J20" s="120">
        <f t="shared" si="0"/>
        <v>460388559.680417</v>
      </c>
      <c r="K20" s="120">
        <f t="shared" ref="K20" si="1">SUM(K4:K19)</f>
        <v>487704832.23809439</v>
      </c>
    </row>
    <row r="21" spans="1:11" ht="15.75" x14ac:dyDescent="0.25">
      <c r="A21" s="111"/>
      <c r="B21" s="111"/>
      <c r="C21" s="111"/>
    </row>
    <row r="27" spans="1:11" x14ac:dyDescent="0.25">
      <c r="C27" s="44"/>
      <c r="D27" s="44"/>
      <c r="E27" s="44"/>
      <c r="F27" s="44"/>
      <c r="G27" s="44"/>
      <c r="H27" s="44"/>
      <c r="I27" s="44"/>
      <c r="J27" s="44"/>
      <c r="K27" s="44"/>
    </row>
  </sheetData>
  <mergeCells count="1">
    <mergeCell ref="B3:K3"/>
  </mergeCell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6"/>
  <sheetViews>
    <sheetView topLeftCell="A10" zoomScale="84" zoomScaleNormal="84" workbookViewId="0">
      <selection activeCell="A33" sqref="A33"/>
    </sheetView>
  </sheetViews>
  <sheetFormatPr defaultColWidth="8.85546875" defaultRowHeight="15" x14ac:dyDescent="0.25"/>
  <cols>
    <col min="1" max="1" width="11.140625" style="9" bestFit="1" customWidth="1"/>
    <col min="2" max="11" width="16.7109375" style="9" customWidth="1"/>
    <col min="12" max="16384" width="8.85546875" style="9"/>
  </cols>
  <sheetData>
    <row r="1" spans="1:13" x14ac:dyDescent="0.25">
      <c r="A1" s="104" t="s">
        <v>283</v>
      </c>
      <c r="B1" s="104"/>
      <c r="C1" s="104"/>
    </row>
    <row r="2" spans="1:13" x14ac:dyDescent="0.25">
      <c r="A2" s="121"/>
      <c r="B2" s="121"/>
      <c r="C2" s="121"/>
      <c r="D2" s="122"/>
    </row>
    <row r="3" spans="1:13" x14ac:dyDescent="0.25">
      <c r="A3" s="113"/>
      <c r="B3" s="114" t="s">
        <v>288</v>
      </c>
      <c r="C3" s="114" t="s">
        <v>289</v>
      </c>
      <c r="D3" s="114" t="s">
        <v>194</v>
      </c>
      <c r="E3" s="114" t="s">
        <v>193</v>
      </c>
      <c r="F3" s="114" t="s">
        <v>200</v>
      </c>
      <c r="G3" s="114" t="s">
        <v>198</v>
      </c>
      <c r="H3" s="114" t="s">
        <v>199</v>
      </c>
      <c r="I3" s="114" t="s">
        <v>201</v>
      </c>
      <c r="J3" s="114" t="s">
        <v>192</v>
      </c>
      <c r="K3" s="114" t="s">
        <v>287</v>
      </c>
    </row>
    <row r="4" spans="1:13" x14ac:dyDescent="0.25">
      <c r="A4" s="123" t="s">
        <v>197</v>
      </c>
      <c r="B4" s="214" t="s">
        <v>286</v>
      </c>
      <c r="C4" s="214"/>
      <c r="D4" s="214"/>
      <c r="E4" s="214"/>
      <c r="F4" s="214"/>
      <c r="G4" s="214"/>
      <c r="H4" s="214"/>
      <c r="I4" s="214"/>
      <c r="J4" s="214"/>
      <c r="K4" s="214"/>
    </row>
    <row r="5" spans="1:13" x14ac:dyDescent="0.25">
      <c r="A5" s="129" t="s">
        <v>38</v>
      </c>
      <c r="B5" s="127">
        <v>54026130</v>
      </c>
      <c r="C5" s="127">
        <v>59822200</v>
      </c>
      <c r="D5" s="126">
        <v>63013360</v>
      </c>
      <c r="E5" s="126">
        <v>67785330</v>
      </c>
      <c r="F5" s="126">
        <v>74403028</v>
      </c>
      <c r="G5" s="126">
        <v>82138760.799999997</v>
      </c>
      <c r="H5" s="126">
        <v>86498457.099999994</v>
      </c>
      <c r="I5" s="126">
        <v>92144699.5</v>
      </c>
      <c r="J5" s="126">
        <v>93985128.109999999</v>
      </c>
      <c r="K5" s="126">
        <v>102366611.40000001</v>
      </c>
      <c r="L5" s="124"/>
      <c r="M5" s="125"/>
    </row>
    <row r="6" spans="1:13" x14ac:dyDescent="0.25">
      <c r="A6" s="129" t="s">
        <v>39</v>
      </c>
      <c r="B6" s="127">
        <v>921509.4</v>
      </c>
      <c r="C6" s="127">
        <v>671255.1</v>
      </c>
      <c r="D6" s="57">
        <v>855789.2</v>
      </c>
      <c r="E6" s="57">
        <v>1129213</v>
      </c>
      <c r="F6" s="57">
        <v>928059.6</v>
      </c>
      <c r="G6" s="126">
        <v>1031572</v>
      </c>
      <c r="H6" s="57">
        <v>1016448</v>
      </c>
      <c r="I6" s="57">
        <v>957535.7</v>
      </c>
      <c r="J6" s="57"/>
      <c r="K6" s="57">
        <v>2401090</v>
      </c>
      <c r="L6" s="124"/>
      <c r="M6" s="125"/>
    </row>
    <row r="7" spans="1:13" x14ac:dyDescent="0.25">
      <c r="A7" s="129" t="s">
        <v>40</v>
      </c>
      <c r="B7" s="127">
        <v>417576.6</v>
      </c>
      <c r="C7" s="127">
        <v>292363.3</v>
      </c>
      <c r="D7" s="57">
        <v>766044.1</v>
      </c>
      <c r="E7" s="57">
        <v>301702.7</v>
      </c>
      <c r="F7" s="57">
        <v>198484</v>
      </c>
      <c r="G7" s="126">
        <v>179664.3</v>
      </c>
      <c r="H7" s="57">
        <v>3879795</v>
      </c>
      <c r="I7" s="57">
        <v>395844.6</v>
      </c>
      <c r="J7" s="57"/>
      <c r="K7" s="57">
        <v>1292791</v>
      </c>
      <c r="L7" s="124"/>
      <c r="M7" s="125"/>
    </row>
    <row r="8" spans="1:13" x14ac:dyDescent="0.25">
      <c r="A8" s="129" t="s">
        <v>41</v>
      </c>
      <c r="B8" s="127">
        <v>223.53379999999999</v>
      </c>
      <c r="C8" s="127">
        <v>1.9002110000000001</v>
      </c>
      <c r="D8" s="57">
        <v>350.81727100000001</v>
      </c>
      <c r="E8" s="57">
        <v>140979.81623</v>
      </c>
      <c r="F8" s="57">
        <v>116306.15500000001</v>
      </c>
      <c r="G8" s="126">
        <v>60033.147000000004</v>
      </c>
      <c r="H8" s="57">
        <v>4596.8019599999998</v>
      </c>
      <c r="I8" s="57">
        <v>40743.930799999995</v>
      </c>
      <c r="J8" s="57">
        <v>5921.5182999999997</v>
      </c>
      <c r="K8" s="57">
        <v>196014.18800000002</v>
      </c>
      <c r="L8" s="124"/>
      <c r="M8" s="125"/>
    </row>
    <row r="9" spans="1:13" x14ac:dyDescent="0.25">
      <c r="A9" s="129" t="s">
        <v>42</v>
      </c>
      <c r="B9" s="127">
        <v>50671.849900000001</v>
      </c>
      <c r="C9" s="127">
        <v>58326.717599999996</v>
      </c>
      <c r="D9" s="57">
        <v>67597.879000000001</v>
      </c>
      <c r="E9" s="57">
        <v>75105.913</v>
      </c>
      <c r="F9" s="57">
        <v>49784.6</v>
      </c>
      <c r="G9" s="126">
        <v>62649.726000000002</v>
      </c>
      <c r="H9" s="57">
        <v>81729.28764000001</v>
      </c>
      <c r="I9" s="57">
        <v>77460.679999999993</v>
      </c>
      <c r="J9" s="57">
        <v>119766.49701000001</v>
      </c>
      <c r="K9" s="57">
        <v>93420.533280000003</v>
      </c>
      <c r="L9" s="124"/>
      <c r="M9" s="125"/>
    </row>
    <row r="10" spans="1:13" x14ac:dyDescent="0.25">
      <c r="A10" s="129" t="s">
        <v>43</v>
      </c>
      <c r="B10" s="127">
        <v>99.748459999999994</v>
      </c>
      <c r="C10" s="127">
        <v>388.86759999999998</v>
      </c>
      <c r="D10" s="57">
        <v>2954.067</v>
      </c>
      <c r="E10" s="57">
        <v>51894.875999999997</v>
      </c>
      <c r="F10" s="57">
        <v>487.14443</v>
      </c>
      <c r="G10" s="126">
        <v>513.619462</v>
      </c>
      <c r="H10" s="57">
        <v>71.975539999999995</v>
      </c>
      <c r="I10" s="57">
        <v>4.9587149999999998</v>
      </c>
      <c r="J10" s="57">
        <v>1539.81176</v>
      </c>
      <c r="K10" s="57">
        <v>2580.2799699999996</v>
      </c>
      <c r="L10" s="124"/>
      <c r="M10" s="125"/>
    </row>
    <row r="11" spans="1:13" x14ac:dyDescent="0.25">
      <c r="A11" s="129" t="s">
        <v>44</v>
      </c>
      <c r="B11" s="127">
        <v>7087.4560000000001</v>
      </c>
      <c r="C11" s="127">
        <v>6970.54</v>
      </c>
      <c r="D11" s="57">
        <v>4003.317</v>
      </c>
      <c r="E11" s="57">
        <v>7974.9939999999997</v>
      </c>
      <c r="F11" s="57">
        <v>8056.3320000000003</v>
      </c>
      <c r="G11" s="126">
        <v>8916.4040000000005</v>
      </c>
      <c r="H11" s="57">
        <v>9860.1769999999997</v>
      </c>
      <c r="I11" s="57">
        <v>7849.1869999999999</v>
      </c>
      <c r="J11" s="57">
        <v>2081.654</v>
      </c>
      <c r="K11" s="57">
        <v>6295.5860000000002</v>
      </c>
      <c r="L11" s="124"/>
      <c r="M11" s="125"/>
    </row>
    <row r="12" spans="1:13" x14ac:dyDescent="0.25">
      <c r="A12" s="129" t="s">
        <v>75</v>
      </c>
      <c r="B12" s="127">
        <v>20900000</v>
      </c>
      <c r="C12" s="127">
        <v>20700000</v>
      </c>
      <c r="D12" s="126">
        <v>20200000</v>
      </c>
      <c r="E12" s="126">
        <v>20200000</v>
      </c>
      <c r="F12" s="126">
        <v>20300000</v>
      </c>
      <c r="G12" s="126">
        <v>21700000</v>
      </c>
      <c r="H12" s="126">
        <v>22600000</v>
      </c>
      <c r="I12" s="126">
        <v>23400000</v>
      </c>
      <c r="J12" s="126">
        <v>23200000</v>
      </c>
      <c r="K12" s="126">
        <v>23500000</v>
      </c>
      <c r="L12" s="124"/>
      <c r="M12" s="125"/>
    </row>
    <row r="13" spans="1:13" x14ac:dyDescent="0.25">
      <c r="A13" s="129" t="s">
        <v>76</v>
      </c>
      <c r="B13" s="127">
        <v>410383.8</v>
      </c>
      <c r="C13" s="127">
        <v>416078.5</v>
      </c>
      <c r="D13" s="57">
        <v>245453.9</v>
      </c>
      <c r="E13" s="57">
        <v>496645.5</v>
      </c>
      <c r="F13" s="57">
        <v>638251.1</v>
      </c>
      <c r="G13" s="127">
        <v>589822.80000000005</v>
      </c>
      <c r="H13" s="57">
        <v>1335864</v>
      </c>
      <c r="I13" s="57">
        <v>2217946</v>
      </c>
      <c r="J13" s="57"/>
      <c r="K13" s="57">
        <v>659.84799999999996</v>
      </c>
      <c r="L13" s="124"/>
      <c r="M13" s="125"/>
    </row>
    <row r="14" spans="1:13" x14ac:dyDescent="0.25">
      <c r="A14" s="129" t="s">
        <v>78</v>
      </c>
      <c r="B14" s="127">
        <v>340380</v>
      </c>
      <c r="C14" s="127">
        <v>326430</v>
      </c>
      <c r="D14" s="57">
        <v>239940</v>
      </c>
      <c r="E14" s="57">
        <v>239940</v>
      </c>
      <c r="F14" s="57">
        <v>234360</v>
      </c>
      <c r="G14" s="127">
        <v>343170</v>
      </c>
      <c r="H14" s="57">
        <v>343170</v>
      </c>
      <c r="I14" s="57">
        <v>329220</v>
      </c>
      <c r="J14" s="57">
        <v>276210</v>
      </c>
      <c r="K14" s="57">
        <v>237150</v>
      </c>
      <c r="L14" s="124"/>
      <c r="M14" s="125"/>
    </row>
    <row r="15" spans="1:13" x14ac:dyDescent="0.25">
      <c r="A15" s="129" t="s">
        <v>79</v>
      </c>
      <c r="B15" s="127">
        <v>58003</v>
      </c>
      <c r="C15" s="127">
        <v>71104</v>
      </c>
      <c r="D15" s="57">
        <v>107151</v>
      </c>
      <c r="E15" s="57">
        <v>107151</v>
      </c>
      <c r="F15" s="57">
        <v>73205</v>
      </c>
      <c r="G15" s="127">
        <v>24222</v>
      </c>
      <c r="H15" s="57">
        <v>49170</v>
      </c>
      <c r="I15" s="57">
        <v>73029</v>
      </c>
      <c r="J15" s="57">
        <v>78078</v>
      </c>
      <c r="K15" s="57">
        <v>86658</v>
      </c>
      <c r="L15" s="124"/>
      <c r="M15" s="125"/>
    </row>
    <row r="16" spans="1:13" x14ac:dyDescent="0.25">
      <c r="A16" s="129" t="s">
        <v>80</v>
      </c>
      <c r="B16" s="127">
        <v>79720.600000000006</v>
      </c>
      <c r="C16" s="127">
        <v>83501.649999999994</v>
      </c>
      <c r="D16" s="57">
        <v>81922.75</v>
      </c>
      <c r="E16" s="57">
        <v>81922.75</v>
      </c>
      <c r="F16" s="57">
        <v>73792.800000000003</v>
      </c>
      <c r="G16" s="127">
        <v>84928.2</v>
      </c>
      <c r="H16" s="57">
        <v>88667.7</v>
      </c>
      <c r="I16" s="57">
        <v>72213.899999999994</v>
      </c>
      <c r="J16" s="57">
        <v>69443.899999999994</v>
      </c>
      <c r="K16" s="57">
        <v>73100.3</v>
      </c>
      <c r="L16" s="124"/>
      <c r="M16" s="125"/>
    </row>
    <row r="17" spans="1:13" x14ac:dyDescent="0.25">
      <c r="A17" s="129" t="s">
        <v>81</v>
      </c>
      <c r="B17" s="127">
        <v>315639.09999999998</v>
      </c>
      <c r="C17" s="127">
        <v>317157.09999999998</v>
      </c>
      <c r="D17" s="57">
        <v>276760.40000000002</v>
      </c>
      <c r="E17" s="57">
        <v>276760.40000000002</v>
      </c>
      <c r="F17" s="57">
        <v>274488.90000000002</v>
      </c>
      <c r="G17" s="126">
        <v>284050.90000000002</v>
      </c>
      <c r="H17" s="57">
        <v>317228.90000000002</v>
      </c>
      <c r="I17" s="57">
        <v>332693.2</v>
      </c>
      <c r="J17" s="57">
        <v>336415</v>
      </c>
      <c r="K17" s="57">
        <v>330119.5</v>
      </c>
      <c r="L17" s="124"/>
      <c r="M17" s="125"/>
    </row>
    <row r="18" spans="1:13" x14ac:dyDescent="0.25">
      <c r="A18" s="129" t="s">
        <v>45</v>
      </c>
      <c r="B18" s="127">
        <v>452206.6</v>
      </c>
      <c r="C18" s="127">
        <v>445934.3</v>
      </c>
      <c r="D18" s="57">
        <v>405544.7</v>
      </c>
      <c r="E18" s="57">
        <v>405544.7</v>
      </c>
      <c r="F18" s="57">
        <v>273399.40000000002</v>
      </c>
      <c r="G18" s="127">
        <v>381447</v>
      </c>
      <c r="H18" s="57">
        <v>431833.1</v>
      </c>
      <c r="I18" s="57">
        <v>414999.3</v>
      </c>
      <c r="J18" s="57">
        <v>293911.2</v>
      </c>
      <c r="K18" s="57">
        <v>354270.8</v>
      </c>
      <c r="L18" s="124"/>
      <c r="M18" s="125"/>
    </row>
    <row r="19" spans="1:13" x14ac:dyDescent="0.25">
      <c r="A19" s="129" t="s">
        <v>46</v>
      </c>
      <c r="B19" s="127">
        <v>4742485</v>
      </c>
      <c r="C19" s="127">
        <v>4875167</v>
      </c>
      <c r="D19" s="57">
        <v>5038330</v>
      </c>
      <c r="E19" s="57">
        <v>5038330</v>
      </c>
      <c r="F19" s="57">
        <v>4731727</v>
      </c>
      <c r="G19" s="113">
        <v>4509395</v>
      </c>
      <c r="H19" s="57">
        <v>4778345</v>
      </c>
      <c r="I19" s="57">
        <v>5952760</v>
      </c>
      <c r="J19" s="57">
        <v>5943795</v>
      </c>
      <c r="K19" s="57">
        <v>5999378</v>
      </c>
      <c r="L19" s="124"/>
      <c r="M19" s="125"/>
    </row>
    <row r="20" spans="1:13" x14ac:dyDescent="0.25">
      <c r="A20" s="129" t="s">
        <v>47</v>
      </c>
      <c r="B20" s="127">
        <v>455473.9</v>
      </c>
      <c r="C20" s="127">
        <v>237225.7</v>
      </c>
      <c r="D20" s="57">
        <v>228577.9</v>
      </c>
      <c r="E20" s="57">
        <v>228577.9</v>
      </c>
      <c r="F20" s="57">
        <v>238782.4</v>
      </c>
      <c r="G20" s="113">
        <v>480488</v>
      </c>
      <c r="H20" s="57">
        <v>482117.1</v>
      </c>
      <c r="I20" s="57">
        <v>485289.9</v>
      </c>
      <c r="J20" s="57">
        <v>439716.7</v>
      </c>
      <c r="K20" s="57">
        <v>462621.1</v>
      </c>
      <c r="L20" s="124"/>
      <c r="M20" s="125"/>
    </row>
    <row r="21" spans="1:13" x14ac:dyDescent="0.25">
      <c r="A21" s="129" t="s">
        <v>48</v>
      </c>
      <c r="B21" s="127">
        <v>3037787</v>
      </c>
      <c r="C21" s="127">
        <v>3383864</v>
      </c>
      <c r="D21" s="57">
        <v>4383642</v>
      </c>
      <c r="E21" s="57">
        <v>4383642</v>
      </c>
      <c r="F21" s="57">
        <v>4499001</v>
      </c>
      <c r="G21" s="113">
        <v>5921762</v>
      </c>
      <c r="H21" s="57">
        <v>6306292</v>
      </c>
      <c r="I21" s="57">
        <v>6498557</v>
      </c>
      <c r="J21" s="57">
        <v>6613916</v>
      </c>
      <c r="K21" s="57">
        <v>7344523</v>
      </c>
      <c r="L21" s="124"/>
      <c r="M21" s="125"/>
    </row>
    <row r="22" spans="1:13" x14ac:dyDescent="0.25">
      <c r="A22" s="129" t="s">
        <v>49</v>
      </c>
      <c r="B22" s="127">
        <v>186420</v>
      </c>
      <c r="C22" s="127">
        <v>157740</v>
      </c>
      <c r="D22" s="57">
        <v>186420</v>
      </c>
      <c r="E22" s="57">
        <v>186420</v>
      </c>
      <c r="F22" s="57">
        <v>143400</v>
      </c>
      <c r="G22" s="113">
        <v>186420</v>
      </c>
      <c r="H22" s="57">
        <v>181640</v>
      </c>
      <c r="I22" s="57">
        <v>181640</v>
      </c>
      <c r="J22" s="57">
        <v>157740</v>
      </c>
      <c r="K22" s="57">
        <v>176860</v>
      </c>
      <c r="L22" s="124"/>
      <c r="M22" s="125"/>
    </row>
    <row r="23" spans="1:13" x14ac:dyDescent="0.25">
      <c r="A23" s="129" t="s">
        <v>50</v>
      </c>
      <c r="B23" s="127">
        <v>1479289</v>
      </c>
      <c r="C23" s="127">
        <v>1532988</v>
      </c>
      <c r="D23" s="57">
        <v>1656605</v>
      </c>
      <c r="E23" s="57">
        <v>1656605</v>
      </c>
      <c r="F23" s="57">
        <v>1441032</v>
      </c>
      <c r="G23" s="113">
        <v>1627388</v>
      </c>
      <c r="H23" s="57">
        <v>1755467</v>
      </c>
      <c r="I23" s="57">
        <v>1736960</v>
      </c>
      <c r="J23" s="57">
        <v>1567598</v>
      </c>
      <c r="K23" s="57">
        <v>1576871</v>
      </c>
      <c r="L23" s="124"/>
      <c r="M23" s="125"/>
    </row>
    <row r="24" spans="1:13" x14ac:dyDescent="0.25">
      <c r="A24" s="129" t="s">
        <v>84</v>
      </c>
      <c r="B24" s="127">
        <v>4017791.1900000004</v>
      </c>
      <c r="C24" s="127">
        <v>5745916.3000000007</v>
      </c>
      <c r="D24" s="57">
        <v>5656628.8799999999</v>
      </c>
      <c r="E24" s="57">
        <v>5448228.9900000002</v>
      </c>
      <c r="F24" s="57">
        <v>6972964.2999999998</v>
      </c>
      <c r="G24" s="57">
        <v>6170619.1200000001</v>
      </c>
      <c r="H24" s="57">
        <v>6794333.926</v>
      </c>
      <c r="I24" s="57">
        <v>16100473.544</v>
      </c>
      <c r="J24" s="57">
        <v>12726724.2607</v>
      </c>
      <c r="K24" s="57">
        <v>6447497.3399999999</v>
      </c>
      <c r="L24" s="124"/>
      <c r="M24" s="125"/>
    </row>
    <row r="25" spans="1:13" x14ac:dyDescent="0.25">
      <c r="A25" s="129" t="s">
        <v>85</v>
      </c>
      <c r="B25" s="127"/>
      <c r="C25" s="127"/>
      <c r="D25" s="57"/>
      <c r="E25" s="57"/>
      <c r="F25" s="57"/>
      <c r="G25" s="57"/>
      <c r="H25" s="57"/>
      <c r="I25" s="57"/>
      <c r="J25" s="57"/>
      <c r="K25" s="57"/>
      <c r="L25" s="124"/>
      <c r="M25" s="125"/>
    </row>
    <row r="26" spans="1:13" x14ac:dyDescent="0.25">
      <c r="A26" s="129" t="s">
        <v>86</v>
      </c>
      <c r="B26" s="127">
        <v>1421970</v>
      </c>
      <c r="C26" s="127">
        <v>1481865</v>
      </c>
      <c r="D26" s="126">
        <v>1902450</v>
      </c>
      <c r="E26" s="126">
        <v>2041050</v>
      </c>
      <c r="F26" s="126">
        <v>2222139</v>
      </c>
      <c r="G26" s="126">
        <v>2547600</v>
      </c>
      <c r="H26" s="126">
        <v>2674704</v>
      </c>
      <c r="I26" s="126">
        <v>2729357</v>
      </c>
      <c r="J26" s="126">
        <v>2838705</v>
      </c>
      <c r="K26" s="126">
        <v>2751045</v>
      </c>
      <c r="L26" s="124"/>
      <c r="M26" s="125"/>
    </row>
    <row r="27" spans="1:13" x14ac:dyDescent="0.25">
      <c r="A27" s="129" t="s">
        <v>88</v>
      </c>
      <c r="B27" s="127">
        <v>8141.64</v>
      </c>
      <c r="C27" s="127">
        <v>12384.84</v>
      </c>
      <c r="D27" s="126">
        <v>23206.04</v>
      </c>
      <c r="E27" s="126">
        <v>30287.919999999998</v>
      </c>
      <c r="F27" s="126">
        <v>31367.96</v>
      </c>
      <c r="G27" s="126">
        <v>33445.879999999997</v>
      </c>
      <c r="H27" s="126">
        <v>29792.880000000001</v>
      </c>
      <c r="I27" s="126">
        <v>47892</v>
      </c>
      <c r="J27" s="126">
        <v>61524.84</v>
      </c>
      <c r="K27" s="126">
        <v>63749.4</v>
      </c>
      <c r="L27" s="124"/>
      <c r="M27" s="125"/>
    </row>
    <row r="28" spans="1:13" x14ac:dyDescent="0.25">
      <c r="A28" s="129" t="s">
        <v>89</v>
      </c>
      <c r="B28" s="127">
        <v>126670</v>
      </c>
      <c r="C28" s="127">
        <v>156880</v>
      </c>
      <c r="D28" s="126">
        <v>201900.9</v>
      </c>
      <c r="E28" s="126">
        <v>242859.8</v>
      </c>
      <c r="F28" s="126">
        <v>308548.5</v>
      </c>
      <c r="G28" s="126">
        <v>325294.40000000002</v>
      </c>
      <c r="H28" s="126">
        <v>392413.1</v>
      </c>
      <c r="I28" s="126">
        <v>415332.9</v>
      </c>
      <c r="J28" s="126">
        <v>373240.8</v>
      </c>
      <c r="K28" s="126">
        <v>406260.9</v>
      </c>
      <c r="L28" s="124"/>
      <c r="M28" s="125"/>
    </row>
    <row r="29" spans="1:13" x14ac:dyDescent="0.25">
      <c r="A29" s="129" t="s">
        <v>90</v>
      </c>
      <c r="B29" s="127">
        <v>12440.286999999998</v>
      </c>
      <c r="C29" s="127">
        <v>9730.6029999999992</v>
      </c>
      <c r="D29" s="57">
        <v>27454.92</v>
      </c>
      <c r="E29" s="57"/>
      <c r="F29" s="57">
        <v>617.89499999999998</v>
      </c>
      <c r="G29" s="57"/>
      <c r="H29" s="57">
        <v>521.32060000000001</v>
      </c>
      <c r="I29" s="57"/>
      <c r="J29" s="57">
        <v>169.0342</v>
      </c>
      <c r="K29" s="57"/>
      <c r="L29" s="124"/>
      <c r="M29" s="125"/>
    </row>
    <row r="30" spans="1:13" x14ac:dyDescent="0.25">
      <c r="A30" s="129" t="s">
        <v>91</v>
      </c>
      <c r="B30" s="127">
        <v>605979</v>
      </c>
      <c r="C30" s="127">
        <v>1327580</v>
      </c>
      <c r="D30" s="57">
        <v>690681.7</v>
      </c>
      <c r="E30" s="57">
        <v>1348424</v>
      </c>
      <c r="F30" s="57">
        <v>512501</v>
      </c>
      <c r="G30" s="57">
        <v>485148.1</v>
      </c>
      <c r="H30" s="57">
        <v>1871436</v>
      </c>
      <c r="I30" s="57">
        <v>1727517</v>
      </c>
      <c r="J30" s="57">
        <v>1841746</v>
      </c>
      <c r="K30" s="57">
        <v>1506723</v>
      </c>
      <c r="L30" s="124"/>
      <c r="M30" s="125"/>
    </row>
    <row r="31" spans="1:13" x14ac:dyDescent="0.25">
      <c r="A31" s="129" t="s">
        <v>92</v>
      </c>
      <c r="B31" s="127">
        <v>1966233</v>
      </c>
      <c r="C31" s="127">
        <v>2088194</v>
      </c>
      <c r="D31" s="57">
        <v>2207684</v>
      </c>
      <c r="E31" s="57">
        <v>2345964</v>
      </c>
      <c r="F31" s="57">
        <v>2508947</v>
      </c>
      <c r="G31" s="57">
        <v>2704507</v>
      </c>
      <c r="H31" s="57">
        <v>2725117</v>
      </c>
      <c r="I31" s="57">
        <v>2781752</v>
      </c>
      <c r="J31" s="57">
        <v>2880036</v>
      </c>
      <c r="K31" s="57">
        <v>2914342</v>
      </c>
      <c r="L31" s="124"/>
      <c r="M31" s="125"/>
    </row>
    <row r="32" spans="1:13" x14ac:dyDescent="0.25">
      <c r="A32" s="183" t="s">
        <v>94</v>
      </c>
      <c r="B32" s="184">
        <v>0</v>
      </c>
      <c r="C32" s="184">
        <v>0</v>
      </c>
      <c r="D32" s="185">
        <v>0</v>
      </c>
      <c r="E32" s="185">
        <v>0</v>
      </c>
      <c r="F32" s="185">
        <v>0</v>
      </c>
      <c r="G32" s="185">
        <v>0</v>
      </c>
      <c r="H32" s="185">
        <v>0</v>
      </c>
      <c r="I32" s="185">
        <v>0</v>
      </c>
      <c r="J32" s="185">
        <v>0</v>
      </c>
      <c r="K32" s="185">
        <v>0</v>
      </c>
      <c r="L32" s="124"/>
      <c r="M32" s="125"/>
    </row>
    <row r="33" spans="1:13" x14ac:dyDescent="0.25">
      <c r="A33" s="129" t="s">
        <v>196</v>
      </c>
      <c r="B33" s="128">
        <f t="shared" ref="B33:K33" si="0">SUM(B5:B31)</f>
        <v>96040311.705159992</v>
      </c>
      <c r="C33" s="128">
        <f t="shared" si="0"/>
        <v>104221247.418411</v>
      </c>
      <c r="D33" s="128">
        <f t="shared" si="0"/>
        <v>108470453.47027105</v>
      </c>
      <c r="E33" s="128">
        <f t="shared" si="0"/>
        <v>114250555.25923002</v>
      </c>
      <c r="F33" s="128">
        <f t="shared" si="0"/>
        <v>121182731.08642998</v>
      </c>
      <c r="G33" s="128">
        <f t="shared" si="0"/>
        <v>131881818.39646199</v>
      </c>
      <c r="H33" s="128">
        <f t="shared" si="0"/>
        <v>144649071.36873999</v>
      </c>
      <c r="I33" s="128">
        <f t="shared" si="0"/>
        <v>159121771.30051506</v>
      </c>
      <c r="J33" s="128">
        <f t="shared" si="0"/>
        <v>153813407.32597002</v>
      </c>
      <c r="K33" s="128">
        <f t="shared" si="0"/>
        <v>160590632.17524999</v>
      </c>
      <c r="L33" s="124"/>
      <c r="M33" s="125"/>
    </row>
    <row r="34" spans="1:13" x14ac:dyDescent="0.25">
      <c r="L34" s="124"/>
      <c r="M34" s="125"/>
    </row>
    <row r="35" spans="1:13" x14ac:dyDescent="0.25">
      <c r="L35" s="124"/>
      <c r="M35" s="125"/>
    </row>
    <row r="36" spans="1:13" x14ac:dyDescent="0.25">
      <c r="L36" s="124"/>
      <c r="M36" s="125"/>
    </row>
  </sheetData>
  <mergeCells count="1">
    <mergeCell ref="B4:K4"/>
  </mergeCells>
  <pageMargins left="0.7" right="0.7" top="0.75" bottom="0.75" header="0.3" footer="0.3"/>
  <pageSetup paperSize="9" orientation="portrait" horizontalDpi="0"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zoomScale="58" zoomScaleNormal="58" workbookViewId="0">
      <selection activeCell="P81" sqref="P81"/>
    </sheetView>
  </sheetViews>
  <sheetFormatPr defaultColWidth="11.42578125" defaultRowHeight="15" x14ac:dyDescent="0.25"/>
  <cols>
    <col min="1" max="1" width="11.42578125" style="40" customWidth="1"/>
    <col min="2" max="2" width="46.42578125" style="9" customWidth="1"/>
    <col min="3" max="3" width="20.85546875" style="9" customWidth="1"/>
    <col min="4" max="4" width="24.140625" style="9" bestFit="1" customWidth="1"/>
    <col min="5" max="5" width="18.85546875" style="9" bestFit="1" customWidth="1"/>
    <col min="6" max="7" width="20" style="9" bestFit="1" customWidth="1"/>
    <col min="8" max="8" width="18.85546875" style="9" bestFit="1" customWidth="1"/>
    <col min="9" max="9" width="20" style="9" bestFit="1" customWidth="1"/>
    <col min="10" max="10" width="18.85546875" style="9" bestFit="1" customWidth="1"/>
    <col min="11" max="11" width="26.5703125" style="9" customWidth="1"/>
    <col min="12" max="16384" width="11.42578125" style="9"/>
  </cols>
  <sheetData>
    <row r="1" spans="1:11" x14ac:dyDescent="0.25">
      <c r="A1" s="232" t="s">
        <v>306</v>
      </c>
      <c r="B1" s="232"/>
      <c r="C1" s="15">
        <v>2005</v>
      </c>
      <c r="D1" s="15">
        <v>2006</v>
      </c>
      <c r="E1" s="15">
        <v>2007</v>
      </c>
      <c r="F1" s="15">
        <v>2008</v>
      </c>
      <c r="G1" s="15">
        <v>2009</v>
      </c>
      <c r="H1" s="15">
        <v>2010</v>
      </c>
      <c r="I1" s="15">
        <v>2011</v>
      </c>
      <c r="J1" s="15">
        <v>2012</v>
      </c>
      <c r="K1" s="15">
        <v>2013</v>
      </c>
    </row>
    <row r="2" spans="1:11" ht="30" x14ac:dyDescent="0.25">
      <c r="A2" s="18" t="s">
        <v>188</v>
      </c>
      <c r="B2" s="19" t="s">
        <v>2</v>
      </c>
      <c r="C2" s="194" t="s">
        <v>221</v>
      </c>
      <c r="D2" s="194"/>
      <c r="E2" s="194"/>
      <c r="F2" s="194"/>
      <c r="G2" s="194"/>
      <c r="H2" s="194"/>
      <c r="I2" s="194"/>
      <c r="J2" s="194"/>
      <c r="K2" s="194"/>
    </row>
    <row r="3" spans="1:11" ht="29.25" x14ac:dyDescent="0.25">
      <c r="A3" s="130" t="s">
        <v>181</v>
      </c>
      <c r="B3" s="131" t="s">
        <v>180</v>
      </c>
      <c r="C3" s="227"/>
      <c r="D3" s="227"/>
      <c r="E3" s="227"/>
      <c r="F3" s="227"/>
      <c r="G3" s="227"/>
      <c r="H3" s="227"/>
      <c r="I3" s="227"/>
      <c r="J3" s="227"/>
      <c r="K3" s="227"/>
    </row>
    <row r="4" spans="1:11" ht="30" x14ac:dyDescent="0.25">
      <c r="A4" s="75" t="s">
        <v>178</v>
      </c>
      <c r="B4" s="132" t="s">
        <v>179</v>
      </c>
      <c r="C4" s="233" t="s">
        <v>232</v>
      </c>
      <c r="D4" s="233"/>
      <c r="E4" s="233"/>
      <c r="F4" s="233"/>
      <c r="G4" s="233"/>
      <c r="H4" s="233"/>
      <c r="I4" s="233"/>
      <c r="J4" s="233"/>
      <c r="K4" s="233"/>
    </row>
    <row r="5" spans="1:11" ht="15" customHeight="1" x14ac:dyDescent="0.25">
      <c r="A5" s="75" t="s">
        <v>4</v>
      </c>
      <c r="B5" s="132" t="s">
        <v>22</v>
      </c>
      <c r="C5" s="229" t="s">
        <v>222</v>
      </c>
      <c r="D5" s="229"/>
      <c r="E5" s="229"/>
      <c r="F5" s="229"/>
      <c r="G5" s="229"/>
      <c r="H5" s="229"/>
      <c r="I5" s="229"/>
      <c r="J5" s="229"/>
      <c r="K5" s="229"/>
    </row>
    <row r="6" spans="1:11" ht="30" x14ac:dyDescent="0.25">
      <c r="A6" s="75" t="s">
        <v>5</v>
      </c>
      <c r="B6" s="132" t="s">
        <v>23</v>
      </c>
      <c r="C6" s="229"/>
      <c r="D6" s="229"/>
      <c r="E6" s="229"/>
      <c r="F6" s="229"/>
      <c r="G6" s="229"/>
      <c r="H6" s="229"/>
      <c r="I6" s="229"/>
      <c r="J6" s="229"/>
      <c r="K6" s="229"/>
    </row>
    <row r="7" spans="1:11" x14ac:dyDescent="0.25">
      <c r="A7" s="133" t="s">
        <v>6</v>
      </c>
      <c r="B7" s="132" t="s">
        <v>24</v>
      </c>
      <c r="C7" s="229"/>
      <c r="D7" s="229"/>
      <c r="E7" s="229"/>
      <c r="F7" s="229"/>
      <c r="G7" s="229"/>
      <c r="H7" s="229"/>
      <c r="I7" s="229"/>
      <c r="J7" s="229"/>
      <c r="K7" s="229"/>
    </row>
    <row r="8" spans="1:11" x14ac:dyDescent="0.25">
      <c r="A8" s="133" t="s">
        <v>7</v>
      </c>
      <c r="B8" s="132" t="s">
        <v>308</v>
      </c>
      <c r="C8" s="234" t="s">
        <v>300</v>
      </c>
      <c r="D8" s="234"/>
      <c r="E8" s="234"/>
      <c r="F8" s="234"/>
      <c r="G8" s="234"/>
      <c r="H8" s="234"/>
      <c r="I8" s="234"/>
      <c r="J8" s="234"/>
      <c r="K8" s="234"/>
    </row>
    <row r="9" spans="1:11" ht="29.25" x14ac:dyDescent="0.25">
      <c r="A9" s="130" t="s">
        <v>11</v>
      </c>
      <c r="B9" s="134" t="s">
        <v>0</v>
      </c>
      <c r="C9" s="235"/>
      <c r="D9" s="235"/>
      <c r="E9" s="235"/>
      <c r="F9" s="235"/>
      <c r="G9" s="235"/>
      <c r="H9" s="235"/>
      <c r="I9" s="235"/>
      <c r="J9" s="235"/>
      <c r="K9" s="235"/>
    </row>
    <row r="10" spans="1:11" ht="15" customHeight="1" x14ac:dyDescent="0.25">
      <c r="A10" s="75" t="s">
        <v>8</v>
      </c>
      <c r="B10" s="132" t="s">
        <v>25</v>
      </c>
      <c r="C10" s="229" t="s">
        <v>222</v>
      </c>
      <c r="D10" s="229"/>
      <c r="E10" s="229"/>
      <c r="F10" s="229"/>
      <c r="G10" s="229"/>
      <c r="H10" s="229"/>
      <c r="I10" s="229"/>
      <c r="J10" s="229"/>
      <c r="K10" s="229"/>
    </row>
    <row r="11" spans="1:11" x14ac:dyDescent="0.25">
      <c r="A11" s="75" t="s">
        <v>9</v>
      </c>
      <c r="B11" s="132" t="s">
        <v>26</v>
      </c>
      <c r="C11" s="229"/>
      <c r="D11" s="229"/>
      <c r="E11" s="229"/>
      <c r="F11" s="229"/>
      <c r="G11" s="229"/>
      <c r="H11" s="229"/>
      <c r="I11" s="229"/>
      <c r="J11" s="229"/>
      <c r="K11" s="229"/>
    </row>
    <row r="12" spans="1:11" x14ac:dyDescent="0.25">
      <c r="A12" s="135" t="s">
        <v>10</v>
      </c>
      <c r="B12" s="136" t="s">
        <v>27</v>
      </c>
      <c r="C12" s="229"/>
      <c r="D12" s="229"/>
      <c r="E12" s="229"/>
      <c r="F12" s="229"/>
      <c r="G12" s="229"/>
      <c r="H12" s="229"/>
      <c r="I12" s="229"/>
      <c r="J12" s="229"/>
      <c r="K12" s="229"/>
    </row>
    <row r="13" spans="1:11" x14ac:dyDescent="0.25">
      <c r="A13" s="75" t="s">
        <v>12</v>
      </c>
      <c r="B13" s="132" t="s">
        <v>28</v>
      </c>
      <c r="C13" s="229"/>
      <c r="D13" s="229"/>
      <c r="E13" s="229"/>
      <c r="F13" s="229"/>
      <c r="G13" s="229"/>
      <c r="H13" s="229"/>
      <c r="I13" s="229"/>
      <c r="J13" s="229"/>
      <c r="K13" s="229"/>
    </row>
    <row r="14" spans="1:11" x14ac:dyDescent="0.25">
      <c r="A14" s="75" t="s">
        <v>13</v>
      </c>
      <c r="B14" s="132" t="s">
        <v>29</v>
      </c>
      <c r="C14" s="229"/>
      <c r="D14" s="229"/>
      <c r="E14" s="229"/>
      <c r="F14" s="229"/>
      <c r="G14" s="229"/>
      <c r="H14" s="229"/>
      <c r="I14" s="229"/>
      <c r="J14" s="229"/>
      <c r="K14" s="229"/>
    </row>
    <row r="15" spans="1:11" x14ac:dyDescent="0.25">
      <c r="A15" s="75" t="s">
        <v>14</v>
      </c>
      <c r="B15" s="132" t="s">
        <v>30</v>
      </c>
      <c r="C15" s="229"/>
      <c r="D15" s="229"/>
      <c r="E15" s="229"/>
      <c r="F15" s="229"/>
      <c r="G15" s="229"/>
      <c r="H15" s="229"/>
      <c r="I15" s="229"/>
      <c r="J15" s="229"/>
      <c r="K15" s="229"/>
    </row>
    <row r="16" spans="1:11" x14ac:dyDescent="0.25">
      <c r="A16" s="75" t="s">
        <v>15</v>
      </c>
      <c r="B16" s="113" t="s">
        <v>36</v>
      </c>
      <c r="C16" s="229"/>
      <c r="D16" s="229"/>
      <c r="E16" s="229"/>
      <c r="F16" s="229"/>
      <c r="G16" s="229"/>
      <c r="H16" s="229"/>
      <c r="I16" s="229"/>
      <c r="J16" s="229"/>
      <c r="K16" s="229"/>
    </row>
    <row r="17" spans="1:11" x14ac:dyDescent="0.25">
      <c r="A17" s="75" t="s">
        <v>16</v>
      </c>
      <c r="B17" s="113" t="s">
        <v>37</v>
      </c>
      <c r="C17" s="229"/>
      <c r="D17" s="229"/>
      <c r="E17" s="229"/>
      <c r="F17" s="229"/>
      <c r="G17" s="229"/>
      <c r="H17" s="229"/>
      <c r="I17" s="229"/>
      <c r="J17" s="229"/>
      <c r="K17" s="229"/>
    </row>
    <row r="18" spans="1:11" x14ac:dyDescent="0.25">
      <c r="A18" s="75" t="s">
        <v>17</v>
      </c>
      <c r="B18" s="113" t="s">
        <v>35</v>
      </c>
      <c r="C18" s="229"/>
      <c r="D18" s="229"/>
      <c r="E18" s="229"/>
      <c r="F18" s="229"/>
      <c r="G18" s="229"/>
      <c r="H18" s="229"/>
      <c r="I18" s="229"/>
      <c r="J18" s="229"/>
      <c r="K18" s="229"/>
    </row>
    <row r="19" spans="1:11" x14ac:dyDescent="0.25">
      <c r="A19" s="75" t="s">
        <v>18</v>
      </c>
      <c r="B19" s="113" t="s">
        <v>34</v>
      </c>
      <c r="C19" s="229"/>
      <c r="D19" s="229"/>
      <c r="E19" s="229"/>
      <c r="F19" s="229"/>
      <c r="G19" s="229"/>
      <c r="H19" s="229"/>
      <c r="I19" s="229"/>
      <c r="J19" s="229"/>
      <c r="K19" s="229"/>
    </row>
    <row r="20" spans="1:11" x14ac:dyDescent="0.25">
      <c r="A20" s="75" t="s">
        <v>19</v>
      </c>
      <c r="B20" s="113" t="s">
        <v>33</v>
      </c>
      <c r="C20" s="229"/>
      <c r="D20" s="229"/>
      <c r="E20" s="229"/>
      <c r="F20" s="229"/>
      <c r="G20" s="229"/>
      <c r="H20" s="229"/>
      <c r="I20" s="229"/>
      <c r="J20" s="229"/>
      <c r="K20" s="229"/>
    </row>
    <row r="21" spans="1:11" x14ac:dyDescent="0.25">
      <c r="A21" s="135" t="s">
        <v>20</v>
      </c>
      <c r="B21" s="127" t="s">
        <v>32</v>
      </c>
      <c r="C21" s="229"/>
      <c r="D21" s="229"/>
      <c r="E21" s="229"/>
      <c r="F21" s="229"/>
      <c r="G21" s="229"/>
      <c r="H21" s="229"/>
      <c r="I21" s="229"/>
      <c r="J21" s="229"/>
      <c r="K21" s="229"/>
    </row>
    <row r="22" spans="1:11" x14ac:dyDescent="0.25">
      <c r="A22" s="75" t="s">
        <v>21</v>
      </c>
      <c r="B22" s="113" t="s">
        <v>31</v>
      </c>
      <c r="C22" s="229"/>
      <c r="D22" s="229"/>
      <c r="E22" s="229"/>
      <c r="F22" s="229"/>
      <c r="G22" s="229"/>
      <c r="H22" s="229"/>
      <c r="I22" s="229"/>
      <c r="J22" s="229"/>
      <c r="K22" s="229"/>
    </row>
    <row r="23" spans="1:11" x14ac:dyDescent="0.25">
      <c r="A23" s="75" t="s">
        <v>182</v>
      </c>
      <c r="B23" s="113" t="s">
        <v>185</v>
      </c>
      <c r="C23" s="233" t="s">
        <v>232</v>
      </c>
      <c r="D23" s="233"/>
      <c r="E23" s="233"/>
      <c r="F23" s="233"/>
      <c r="G23" s="233"/>
      <c r="H23" s="233"/>
      <c r="I23" s="233"/>
      <c r="J23" s="233"/>
      <c r="K23" s="233"/>
    </row>
    <row r="24" spans="1:11" x14ac:dyDescent="0.25">
      <c r="A24" s="75" t="s">
        <v>183</v>
      </c>
      <c r="B24" s="113" t="s">
        <v>186</v>
      </c>
      <c r="C24" s="233"/>
      <c r="D24" s="233"/>
      <c r="E24" s="233"/>
      <c r="F24" s="233"/>
      <c r="G24" s="233"/>
      <c r="H24" s="233"/>
      <c r="I24" s="233"/>
      <c r="J24" s="233"/>
      <c r="K24" s="233"/>
    </row>
    <row r="25" spans="1:11" x14ac:dyDescent="0.25">
      <c r="A25" s="75" t="s">
        <v>184</v>
      </c>
      <c r="B25" s="113" t="s">
        <v>187</v>
      </c>
      <c r="C25" s="233"/>
      <c r="D25" s="233"/>
      <c r="E25" s="233"/>
      <c r="F25" s="233"/>
      <c r="G25" s="233"/>
      <c r="H25" s="233"/>
      <c r="I25" s="233"/>
      <c r="J25" s="233"/>
      <c r="K25" s="233"/>
    </row>
    <row r="26" spans="1:11" x14ac:dyDescent="0.25">
      <c r="A26" s="137" t="s">
        <v>106</v>
      </c>
      <c r="B26" s="131" t="s">
        <v>1</v>
      </c>
      <c r="C26" s="227"/>
      <c r="D26" s="227"/>
      <c r="E26" s="227"/>
      <c r="F26" s="227"/>
      <c r="G26" s="227"/>
      <c r="H26" s="227"/>
      <c r="I26" s="227"/>
      <c r="J26" s="227"/>
      <c r="K26" s="227"/>
    </row>
    <row r="27" spans="1:11" ht="45" x14ac:dyDescent="0.25">
      <c r="A27" s="75" t="s">
        <v>38</v>
      </c>
      <c r="B27" s="138" t="s">
        <v>113</v>
      </c>
      <c r="C27" s="139" t="s">
        <v>223</v>
      </c>
      <c r="D27" s="139" t="s">
        <v>223</v>
      </c>
      <c r="E27" s="139" t="s">
        <v>223</v>
      </c>
      <c r="F27" s="139" t="s">
        <v>223</v>
      </c>
      <c r="G27" s="139" t="s">
        <v>224</v>
      </c>
      <c r="H27" s="139" t="s">
        <v>202</v>
      </c>
      <c r="I27" s="139" t="s">
        <v>225</v>
      </c>
      <c r="J27" s="139" t="s">
        <v>226</v>
      </c>
      <c r="K27" s="139" t="s">
        <v>226</v>
      </c>
    </row>
    <row r="28" spans="1:11" ht="15" customHeight="1" x14ac:dyDescent="0.25">
      <c r="A28" s="140" t="s">
        <v>39</v>
      </c>
      <c r="B28" s="113" t="s">
        <v>114</v>
      </c>
      <c r="C28" s="229" t="s">
        <v>222</v>
      </c>
      <c r="D28" s="229"/>
      <c r="E28" s="229"/>
      <c r="F28" s="229"/>
      <c r="G28" s="229"/>
      <c r="H28" s="229"/>
      <c r="I28" s="229"/>
      <c r="J28" s="229"/>
      <c r="K28" s="229"/>
    </row>
    <row r="29" spans="1:11" x14ac:dyDescent="0.25">
      <c r="A29" s="140" t="s">
        <v>40</v>
      </c>
      <c r="B29" s="113" t="s">
        <v>115</v>
      </c>
      <c r="C29" s="229"/>
      <c r="D29" s="229"/>
      <c r="E29" s="229"/>
      <c r="F29" s="229"/>
      <c r="G29" s="229"/>
      <c r="H29" s="229"/>
      <c r="I29" s="229"/>
      <c r="J29" s="229"/>
      <c r="K29" s="229"/>
    </row>
    <row r="30" spans="1:11" x14ac:dyDescent="0.25">
      <c r="A30" s="140" t="s">
        <v>73</v>
      </c>
      <c r="B30" s="141" t="s">
        <v>116</v>
      </c>
      <c r="C30" s="229"/>
      <c r="D30" s="229"/>
      <c r="E30" s="229"/>
      <c r="F30" s="229"/>
      <c r="G30" s="229"/>
      <c r="H30" s="229"/>
      <c r="I30" s="229"/>
      <c r="J30" s="229"/>
      <c r="K30" s="229"/>
    </row>
    <row r="31" spans="1:11" x14ac:dyDescent="0.25">
      <c r="A31" s="140" t="s">
        <v>41</v>
      </c>
      <c r="B31" s="132" t="s">
        <v>118</v>
      </c>
      <c r="C31" s="229"/>
      <c r="D31" s="229"/>
      <c r="E31" s="229"/>
      <c r="F31" s="229"/>
      <c r="G31" s="229"/>
      <c r="H31" s="229"/>
      <c r="I31" s="229"/>
      <c r="J31" s="229"/>
      <c r="K31" s="229"/>
    </row>
    <row r="32" spans="1:11" x14ac:dyDescent="0.25">
      <c r="A32" s="140" t="s">
        <v>42</v>
      </c>
      <c r="B32" s="132" t="s">
        <v>119</v>
      </c>
      <c r="C32" s="229"/>
      <c r="D32" s="229"/>
      <c r="E32" s="229"/>
      <c r="F32" s="229"/>
      <c r="G32" s="229"/>
      <c r="H32" s="229"/>
      <c r="I32" s="229"/>
      <c r="J32" s="229"/>
      <c r="K32" s="229"/>
    </row>
    <row r="33" spans="1:11" x14ac:dyDescent="0.25">
      <c r="A33" s="140" t="s">
        <v>43</v>
      </c>
      <c r="B33" s="132" t="s">
        <v>120</v>
      </c>
      <c r="C33" s="229"/>
      <c r="D33" s="229"/>
      <c r="E33" s="229"/>
      <c r="F33" s="229"/>
      <c r="G33" s="229"/>
      <c r="H33" s="229"/>
      <c r="I33" s="229"/>
      <c r="J33" s="229"/>
      <c r="K33" s="229"/>
    </row>
    <row r="34" spans="1:11" x14ac:dyDescent="0.25">
      <c r="A34" s="140" t="s">
        <v>44</v>
      </c>
      <c r="B34" s="132" t="s">
        <v>117</v>
      </c>
      <c r="C34" s="229"/>
      <c r="D34" s="229"/>
      <c r="E34" s="229"/>
      <c r="F34" s="229"/>
      <c r="G34" s="229"/>
      <c r="H34" s="229"/>
      <c r="I34" s="229"/>
      <c r="J34" s="229"/>
      <c r="K34" s="229"/>
    </row>
    <row r="35" spans="1:11" x14ac:dyDescent="0.25">
      <c r="A35" s="140" t="s">
        <v>74</v>
      </c>
      <c r="B35" s="132" t="s">
        <v>117</v>
      </c>
      <c r="C35" s="229"/>
      <c r="D35" s="229"/>
      <c r="E35" s="229"/>
      <c r="F35" s="229"/>
      <c r="G35" s="229"/>
      <c r="H35" s="229"/>
      <c r="I35" s="229"/>
      <c r="J35" s="229"/>
      <c r="K35" s="229"/>
    </row>
    <row r="36" spans="1:11" x14ac:dyDescent="0.25">
      <c r="A36" s="137" t="s">
        <v>105</v>
      </c>
      <c r="B36" s="131" t="s">
        <v>121</v>
      </c>
      <c r="C36" s="227"/>
      <c r="D36" s="227"/>
      <c r="E36" s="227"/>
      <c r="F36" s="227"/>
      <c r="G36" s="227"/>
      <c r="H36" s="227"/>
      <c r="I36" s="227"/>
      <c r="J36" s="227"/>
      <c r="K36" s="227"/>
    </row>
    <row r="37" spans="1:11" x14ac:dyDescent="0.25">
      <c r="A37" s="140" t="s">
        <v>75</v>
      </c>
      <c r="B37" s="132" t="s">
        <v>122</v>
      </c>
      <c r="C37" s="233" t="s">
        <v>270</v>
      </c>
      <c r="D37" s="233"/>
      <c r="E37" s="233"/>
      <c r="F37" s="233"/>
      <c r="G37" s="233"/>
      <c r="H37" s="233"/>
      <c r="I37" s="233"/>
      <c r="J37" s="233"/>
      <c r="K37" s="233"/>
    </row>
    <row r="38" spans="1:11" x14ac:dyDescent="0.25">
      <c r="A38" s="140" t="s">
        <v>76</v>
      </c>
      <c r="B38" s="132" t="s">
        <v>123</v>
      </c>
      <c r="C38" s="233" t="s">
        <v>222</v>
      </c>
      <c r="D38" s="233"/>
      <c r="E38" s="233"/>
      <c r="F38" s="233"/>
      <c r="G38" s="233"/>
      <c r="H38" s="233"/>
      <c r="I38" s="233"/>
      <c r="J38" s="233"/>
      <c r="K38" s="233"/>
    </row>
    <row r="39" spans="1:11" ht="14.45" customHeight="1" x14ac:dyDescent="0.25">
      <c r="A39" s="140" t="s">
        <v>77</v>
      </c>
      <c r="B39" s="132" t="s">
        <v>124</v>
      </c>
      <c r="C39" s="228" t="s">
        <v>227</v>
      </c>
      <c r="D39" s="228"/>
      <c r="E39" s="228"/>
      <c r="F39" s="228"/>
      <c r="G39" s="228"/>
      <c r="H39" s="228"/>
      <c r="I39" s="228"/>
      <c r="J39" s="228"/>
      <c r="K39" s="228"/>
    </row>
    <row r="40" spans="1:11" x14ac:dyDescent="0.25">
      <c r="A40" s="140" t="s">
        <v>78</v>
      </c>
      <c r="B40" s="132" t="s">
        <v>125</v>
      </c>
      <c r="C40" s="228"/>
      <c r="D40" s="228"/>
      <c r="E40" s="228"/>
      <c r="F40" s="228"/>
      <c r="G40" s="228"/>
      <c r="H40" s="228"/>
      <c r="I40" s="228"/>
      <c r="J40" s="228"/>
      <c r="K40" s="228"/>
    </row>
    <row r="41" spans="1:11" x14ac:dyDescent="0.25">
      <c r="A41" s="140" t="s">
        <v>79</v>
      </c>
      <c r="B41" s="132" t="s">
        <v>126</v>
      </c>
      <c r="C41" s="228"/>
      <c r="D41" s="228"/>
      <c r="E41" s="228"/>
      <c r="F41" s="228"/>
      <c r="G41" s="228"/>
      <c r="H41" s="228"/>
      <c r="I41" s="228"/>
      <c r="J41" s="228"/>
      <c r="K41" s="228"/>
    </row>
    <row r="42" spans="1:11" x14ac:dyDescent="0.25">
      <c r="A42" s="140" t="s">
        <v>80</v>
      </c>
      <c r="B42" s="132" t="s">
        <v>127</v>
      </c>
      <c r="C42" s="228"/>
      <c r="D42" s="228"/>
      <c r="E42" s="228"/>
      <c r="F42" s="228"/>
      <c r="G42" s="228"/>
      <c r="H42" s="228"/>
      <c r="I42" s="228"/>
      <c r="J42" s="228"/>
      <c r="K42" s="228"/>
    </row>
    <row r="43" spans="1:11" x14ac:dyDescent="0.25">
      <c r="A43" s="140" t="s">
        <v>81</v>
      </c>
      <c r="B43" s="132" t="s">
        <v>128</v>
      </c>
      <c r="C43" s="228"/>
      <c r="D43" s="228"/>
      <c r="E43" s="228"/>
      <c r="F43" s="228"/>
      <c r="G43" s="228"/>
      <c r="H43" s="228"/>
      <c r="I43" s="228"/>
      <c r="J43" s="228"/>
      <c r="K43" s="228"/>
    </row>
    <row r="44" spans="1:11" x14ac:dyDescent="0.25">
      <c r="A44" s="140" t="s">
        <v>82</v>
      </c>
      <c r="B44" s="141" t="s">
        <v>129</v>
      </c>
      <c r="C44" s="228"/>
      <c r="D44" s="228"/>
      <c r="E44" s="228"/>
      <c r="F44" s="228"/>
      <c r="G44" s="228"/>
      <c r="H44" s="228"/>
      <c r="I44" s="228"/>
      <c r="J44" s="228"/>
      <c r="K44" s="228"/>
    </row>
    <row r="45" spans="1:11" x14ac:dyDescent="0.25">
      <c r="A45" s="140" t="s">
        <v>45</v>
      </c>
      <c r="B45" s="132" t="s">
        <v>130</v>
      </c>
      <c r="C45" s="228"/>
      <c r="D45" s="228"/>
      <c r="E45" s="228"/>
      <c r="F45" s="228"/>
      <c r="G45" s="228"/>
      <c r="H45" s="228"/>
      <c r="I45" s="228"/>
      <c r="J45" s="228"/>
      <c r="K45" s="228"/>
    </row>
    <row r="46" spans="1:11" x14ac:dyDescent="0.25">
      <c r="A46" s="140" t="s">
        <v>46</v>
      </c>
      <c r="B46" s="132" t="s">
        <v>131</v>
      </c>
      <c r="C46" s="228"/>
      <c r="D46" s="228"/>
      <c r="E46" s="228"/>
      <c r="F46" s="228"/>
      <c r="G46" s="228"/>
      <c r="H46" s="228"/>
      <c r="I46" s="228"/>
      <c r="J46" s="228"/>
      <c r="K46" s="228"/>
    </row>
    <row r="47" spans="1:11" x14ac:dyDescent="0.25">
      <c r="A47" s="140" t="s">
        <v>47</v>
      </c>
      <c r="B47" s="132" t="s">
        <v>132</v>
      </c>
      <c r="C47" s="228"/>
      <c r="D47" s="228"/>
      <c r="E47" s="228"/>
      <c r="F47" s="228"/>
      <c r="G47" s="228"/>
      <c r="H47" s="228"/>
      <c r="I47" s="228"/>
      <c r="J47" s="228"/>
      <c r="K47" s="228"/>
    </row>
    <row r="48" spans="1:11" x14ac:dyDescent="0.25">
      <c r="A48" s="140" t="s">
        <v>48</v>
      </c>
      <c r="B48" s="132" t="s">
        <v>133</v>
      </c>
      <c r="C48" s="228"/>
      <c r="D48" s="228"/>
      <c r="E48" s="228"/>
      <c r="F48" s="228"/>
      <c r="G48" s="228"/>
      <c r="H48" s="228"/>
      <c r="I48" s="228"/>
      <c r="J48" s="228"/>
      <c r="K48" s="228"/>
    </row>
    <row r="49" spans="1:12" x14ac:dyDescent="0.25">
      <c r="A49" s="140" t="s">
        <v>49</v>
      </c>
      <c r="B49" s="132" t="s">
        <v>134</v>
      </c>
      <c r="C49" s="228"/>
      <c r="D49" s="228"/>
      <c r="E49" s="228"/>
      <c r="F49" s="228"/>
      <c r="G49" s="228"/>
      <c r="H49" s="228"/>
      <c r="I49" s="228"/>
      <c r="J49" s="228"/>
      <c r="K49" s="228"/>
    </row>
    <row r="50" spans="1:12" x14ac:dyDescent="0.25">
      <c r="A50" s="140" t="s">
        <v>50</v>
      </c>
      <c r="B50" s="132" t="s">
        <v>135</v>
      </c>
      <c r="C50" s="228"/>
      <c r="D50" s="228"/>
      <c r="E50" s="228"/>
      <c r="F50" s="228"/>
      <c r="G50" s="228"/>
      <c r="H50" s="228"/>
      <c r="I50" s="228"/>
      <c r="J50" s="228"/>
      <c r="K50" s="228"/>
    </row>
    <row r="51" spans="1:12" ht="14.45" customHeight="1" x14ac:dyDescent="0.25">
      <c r="A51" s="140" t="s">
        <v>83</v>
      </c>
      <c r="B51" s="141" t="s">
        <v>136</v>
      </c>
      <c r="C51" s="229" t="s">
        <v>232</v>
      </c>
      <c r="D51" s="229"/>
      <c r="E51" s="229"/>
      <c r="F51" s="229"/>
      <c r="G51" s="229"/>
      <c r="H51" s="229"/>
      <c r="I51" s="229"/>
      <c r="J51" s="229"/>
      <c r="K51" s="229"/>
    </row>
    <row r="52" spans="1:12" x14ac:dyDescent="0.25">
      <c r="A52" s="140" t="s">
        <v>51</v>
      </c>
      <c r="B52" s="132" t="s">
        <v>137</v>
      </c>
      <c r="C52" s="229"/>
      <c r="D52" s="229"/>
      <c r="E52" s="229"/>
      <c r="F52" s="229"/>
      <c r="G52" s="229"/>
      <c r="H52" s="229"/>
      <c r="I52" s="229"/>
      <c r="J52" s="229"/>
      <c r="K52" s="229"/>
    </row>
    <row r="53" spans="1:12" x14ac:dyDescent="0.25">
      <c r="A53" s="140" t="s">
        <v>52</v>
      </c>
      <c r="B53" s="132" t="s">
        <v>138</v>
      </c>
      <c r="C53" s="229"/>
      <c r="D53" s="229"/>
      <c r="E53" s="229"/>
      <c r="F53" s="229"/>
      <c r="G53" s="229"/>
      <c r="H53" s="229"/>
      <c r="I53" s="229"/>
      <c r="J53" s="229"/>
      <c r="K53" s="229"/>
    </row>
    <row r="54" spans="1:12" x14ac:dyDescent="0.25">
      <c r="A54" s="140" t="s">
        <v>53</v>
      </c>
      <c r="B54" s="132" t="s">
        <v>117</v>
      </c>
      <c r="C54" s="229"/>
      <c r="D54" s="229"/>
      <c r="E54" s="229"/>
      <c r="F54" s="229"/>
      <c r="G54" s="229"/>
      <c r="H54" s="229"/>
      <c r="I54" s="229"/>
      <c r="J54" s="229"/>
      <c r="K54" s="229"/>
    </row>
    <row r="55" spans="1:12" x14ac:dyDescent="0.25">
      <c r="A55" s="137" t="s">
        <v>107</v>
      </c>
      <c r="B55" s="131" t="s">
        <v>139</v>
      </c>
      <c r="C55" s="227"/>
      <c r="D55" s="227"/>
      <c r="E55" s="227"/>
      <c r="F55" s="227"/>
      <c r="G55" s="227"/>
      <c r="H55" s="227"/>
      <c r="I55" s="227"/>
      <c r="J55" s="227"/>
      <c r="K55" s="227"/>
    </row>
    <row r="56" spans="1:12" x14ac:dyDescent="0.25">
      <c r="A56" s="140" t="s">
        <v>84</v>
      </c>
      <c r="B56" s="132" t="s">
        <v>140</v>
      </c>
      <c r="C56" s="229" t="s">
        <v>222</v>
      </c>
      <c r="D56" s="229"/>
      <c r="E56" s="229"/>
      <c r="F56" s="229"/>
      <c r="G56" s="229"/>
      <c r="H56" s="229"/>
      <c r="I56" s="229"/>
      <c r="J56" s="229"/>
      <c r="K56" s="229"/>
      <c r="L56" s="48"/>
    </row>
    <row r="57" spans="1:12" x14ac:dyDescent="0.25">
      <c r="A57" s="140" t="s">
        <v>85</v>
      </c>
      <c r="B57" s="132" t="s">
        <v>141</v>
      </c>
      <c r="C57" s="229"/>
      <c r="D57" s="229"/>
      <c r="E57" s="229"/>
      <c r="F57" s="229"/>
      <c r="G57" s="229"/>
      <c r="H57" s="229"/>
      <c r="I57" s="229"/>
      <c r="J57" s="229"/>
      <c r="K57" s="229"/>
      <c r="L57" s="48"/>
    </row>
    <row r="58" spans="1:12" x14ac:dyDescent="0.25">
      <c r="A58" s="140" t="s">
        <v>86</v>
      </c>
      <c r="B58" s="132" t="s">
        <v>142</v>
      </c>
      <c r="C58" s="231" t="s">
        <v>303</v>
      </c>
      <c r="D58" s="231"/>
      <c r="E58" s="228" t="s">
        <v>228</v>
      </c>
      <c r="F58" s="228"/>
      <c r="G58" s="228" t="s">
        <v>229</v>
      </c>
      <c r="H58" s="228"/>
      <c r="I58" s="228" t="s">
        <v>230</v>
      </c>
      <c r="J58" s="228"/>
      <c r="K58" s="142" t="s">
        <v>302</v>
      </c>
      <c r="L58" s="143"/>
    </row>
    <row r="59" spans="1:12" x14ac:dyDescent="0.25">
      <c r="A59" s="140" t="s">
        <v>87</v>
      </c>
      <c r="B59" s="132" t="s">
        <v>143</v>
      </c>
      <c r="C59" s="229" t="s">
        <v>203</v>
      </c>
      <c r="D59" s="229"/>
      <c r="E59" s="229"/>
      <c r="F59" s="229"/>
      <c r="G59" s="229"/>
      <c r="H59" s="229"/>
      <c r="I59" s="229"/>
      <c r="J59" s="229"/>
      <c r="K59" s="229"/>
      <c r="L59" s="48"/>
    </row>
    <row r="60" spans="1:12" x14ac:dyDescent="0.25">
      <c r="A60" s="140" t="s">
        <v>88</v>
      </c>
      <c r="B60" s="132" t="s">
        <v>144</v>
      </c>
      <c r="C60" s="228" t="s">
        <v>231</v>
      </c>
      <c r="D60" s="228"/>
      <c r="E60" s="228" t="s">
        <v>231</v>
      </c>
      <c r="F60" s="228"/>
      <c r="G60" s="228"/>
      <c r="H60" s="228"/>
      <c r="I60" s="228" t="s">
        <v>230</v>
      </c>
      <c r="J60" s="228"/>
      <c r="K60" s="230" t="s">
        <v>302</v>
      </c>
      <c r="L60" s="48"/>
    </row>
    <row r="61" spans="1:12" x14ac:dyDescent="0.25">
      <c r="A61" s="140" t="s">
        <v>89</v>
      </c>
      <c r="B61" s="132" t="s">
        <v>145</v>
      </c>
      <c r="C61" s="228"/>
      <c r="D61" s="228"/>
      <c r="E61" s="228"/>
      <c r="F61" s="228"/>
      <c r="G61" s="228"/>
      <c r="H61" s="228"/>
      <c r="I61" s="228"/>
      <c r="J61" s="228"/>
      <c r="K61" s="230"/>
    </row>
    <row r="62" spans="1:12" x14ac:dyDescent="0.25">
      <c r="A62" s="75" t="s">
        <v>90</v>
      </c>
      <c r="B62" s="144" t="s">
        <v>117</v>
      </c>
      <c r="C62" s="229" t="s">
        <v>222</v>
      </c>
      <c r="D62" s="229"/>
      <c r="E62" s="229"/>
      <c r="F62" s="229"/>
      <c r="G62" s="229"/>
      <c r="H62" s="229"/>
      <c r="I62" s="229"/>
      <c r="J62" s="229"/>
      <c r="K62" s="229"/>
    </row>
    <row r="63" spans="1:12" ht="29.25" x14ac:dyDescent="0.25">
      <c r="A63" s="130" t="s">
        <v>108</v>
      </c>
      <c r="B63" s="131" t="s">
        <v>146</v>
      </c>
      <c r="C63" s="227"/>
      <c r="D63" s="227"/>
      <c r="E63" s="227"/>
      <c r="F63" s="227"/>
      <c r="G63" s="227"/>
      <c r="H63" s="227"/>
      <c r="I63" s="227"/>
      <c r="J63" s="227"/>
      <c r="K63" s="227"/>
    </row>
    <row r="64" spans="1:12" x14ac:dyDescent="0.25">
      <c r="A64" s="140" t="s">
        <v>91</v>
      </c>
      <c r="B64" s="132" t="s">
        <v>147</v>
      </c>
      <c r="C64" s="229" t="s">
        <v>222</v>
      </c>
      <c r="D64" s="229"/>
      <c r="E64" s="229"/>
      <c r="F64" s="229"/>
      <c r="G64" s="229"/>
      <c r="H64" s="229"/>
      <c r="I64" s="229"/>
      <c r="J64" s="229"/>
      <c r="K64" s="229"/>
    </row>
    <row r="65" spans="1:11" ht="18" customHeight="1" x14ac:dyDescent="0.25">
      <c r="A65" s="140" t="s">
        <v>92</v>
      </c>
      <c r="B65" s="132" t="s">
        <v>148</v>
      </c>
      <c r="C65" s="229"/>
      <c r="D65" s="229"/>
      <c r="E65" s="229"/>
      <c r="F65" s="229"/>
      <c r="G65" s="229"/>
      <c r="H65" s="229"/>
      <c r="I65" s="229"/>
      <c r="J65" s="229"/>
      <c r="K65" s="229"/>
    </row>
    <row r="66" spans="1:11" x14ac:dyDescent="0.25">
      <c r="A66" s="140" t="s">
        <v>93</v>
      </c>
      <c r="B66" s="132" t="s">
        <v>149</v>
      </c>
      <c r="C66" s="224" t="s">
        <v>203</v>
      </c>
      <c r="D66" s="225"/>
      <c r="E66" s="225"/>
      <c r="F66" s="225"/>
      <c r="G66" s="225"/>
      <c r="H66" s="225"/>
      <c r="I66" s="225"/>
      <c r="J66" s="225"/>
      <c r="K66" s="226"/>
    </row>
    <row r="67" spans="1:11" x14ac:dyDescent="0.25">
      <c r="A67" s="140" t="s">
        <v>94</v>
      </c>
      <c r="B67" s="132" t="s">
        <v>150</v>
      </c>
      <c r="C67" s="224" t="s">
        <v>313</v>
      </c>
      <c r="D67" s="225"/>
      <c r="E67" s="225"/>
      <c r="F67" s="225"/>
      <c r="G67" s="225"/>
      <c r="H67" s="225"/>
      <c r="I67" s="225"/>
      <c r="J67" s="225"/>
      <c r="K67" s="226"/>
    </row>
    <row r="68" spans="1:11" x14ac:dyDescent="0.25">
      <c r="A68" s="140" t="s">
        <v>109</v>
      </c>
      <c r="B68" s="141" t="s">
        <v>151</v>
      </c>
      <c r="C68" s="215" t="s">
        <v>232</v>
      </c>
      <c r="D68" s="216"/>
      <c r="E68" s="216"/>
      <c r="F68" s="216"/>
      <c r="G68" s="216"/>
      <c r="H68" s="216"/>
      <c r="I68" s="216"/>
      <c r="J68" s="216"/>
      <c r="K68" s="217"/>
    </row>
    <row r="69" spans="1:11" x14ac:dyDescent="0.25">
      <c r="A69" s="145" t="s">
        <v>54</v>
      </c>
      <c r="B69" s="132" t="s">
        <v>152</v>
      </c>
      <c r="C69" s="218"/>
      <c r="D69" s="219"/>
      <c r="E69" s="219"/>
      <c r="F69" s="219"/>
      <c r="G69" s="219"/>
      <c r="H69" s="219"/>
      <c r="I69" s="219"/>
      <c r="J69" s="219"/>
      <c r="K69" s="220"/>
    </row>
    <row r="70" spans="1:11" x14ac:dyDescent="0.25">
      <c r="A70" s="145" t="s">
        <v>55</v>
      </c>
      <c r="B70" s="132" t="s">
        <v>153</v>
      </c>
      <c r="C70" s="218"/>
      <c r="D70" s="219"/>
      <c r="E70" s="219"/>
      <c r="F70" s="219"/>
      <c r="G70" s="219"/>
      <c r="H70" s="219"/>
      <c r="I70" s="219"/>
      <c r="J70" s="219"/>
      <c r="K70" s="220"/>
    </row>
    <row r="71" spans="1:11" x14ac:dyDescent="0.25">
      <c r="A71" s="145" t="s">
        <v>56</v>
      </c>
      <c r="B71" s="132" t="s">
        <v>154</v>
      </c>
      <c r="C71" s="218"/>
      <c r="D71" s="219"/>
      <c r="E71" s="219"/>
      <c r="F71" s="219"/>
      <c r="G71" s="219"/>
      <c r="H71" s="219"/>
      <c r="I71" s="219"/>
      <c r="J71" s="219"/>
      <c r="K71" s="220"/>
    </row>
    <row r="72" spans="1:11" x14ac:dyDescent="0.25">
      <c r="A72" s="145" t="s">
        <v>57</v>
      </c>
      <c r="B72" s="132" t="s">
        <v>155</v>
      </c>
      <c r="C72" s="218"/>
      <c r="D72" s="219"/>
      <c r="E72" s="219"/>
      <c r="F72" s="219"/>
      <c r="G72" s="219"/>
      <c r="H72" s="219"/>
      <c r="I72" s="219"/>
      <c r="J72" s="219"/>
      <c r="K72" s="220"/>
    </row>
    <row r="73" spans="1:11" x14ac:dyDescent="0.25">
      <c r="A73" s="145" t="s">
        <v>58</v>
      </c>
      <c r="B73" s="132" t="s">
        <v>117</v>
      </c>
      <c r="C73" s="218"/>
      <c r="D73" s="219"/>
      <c r="E73" s="219"/>
      <c r="F73" s="219"/>
      <c r="G73" s="219"/>
      <c r="H73" s="219"/>
      <c r="I73" s="219"/>
      <c r="J73" s="219"/>
      <c r="K73" s="220"/>
    </row>
    <row r="74" spans="1:11" ht="29.25" x14ac:dyDescent="0.25">
      <c r="A74" s="146" t="s">
        <v>110</v>
      </c>
      <c r="B74" s="131" t="s">
        <v>156</v>
      </c>
      <c r="C74" s="218"/>
      <c r="D74" s="219"/>
      <c r="E74" s="219"/>
      <c r="F74" s="219"/>
      <c r="G74" s="219"/>
      <c r="H74" s="219"/>
      <c r="I74" s="219"/>
      <c r="J74" s="219"/>
      <c r="K74" s="220"/>
    </row>
    <row r="75" spans="1:11" x14ac:dyDescent="0.25">
      <c r="A75" s="140" t="s">
        <v>95</v>
      </c>
      <c r="B75" s="132" t="s">
        <v>157</v>
      </c>
      <c r="C75" s="218"/>
      <c r="D75" s="219"/>
      <c r="E75" s="219"/>
      <c r="F75" s="219"/>
      <c r="G75" s="219"/>
      <c r="H75" s="219"/>
      <c r="I75" s="219"/>
      <c r="J75" s="219"/>
      <c r="K75" s="220"/>
    </row>
    <row r="76" spans="1:11" x14ac:dyDescent="0.25">
      <c r="A76" s="140" t="s">
        <v>59</v>
      </c>
      <c r="B76" s="132" t="s">
        <v>158</v>
      </c>
      <c r="C76" s="218"/>
      <c r="D76" s="219"/>
      <c r="E76" s="219"/>
      <c r="F76" s="219"/>
      <c r="G76" s="219"/>
      <c r="H76" s="219"/>
      <c r="I76" s="219"/>
      <c r="J76" s="219"/>
      <c r="K76" s="220"/>
    </row>
    <row r="77" spans="1:11" x14ac:dyDescent="0.25">
      <c r="A77" s="140" t="s">
        <v>60</v>
      </c>
      <c r="B77" s="132" t="s">
        <v>159</v>
      </c>
      <c r="C77" s="218"/>
      <c r="D77" s="219"/>
      <c r="E77" s="219"/>
      <c r="F77" s="219"/>
      <c r="G77" s="219"/>
      <c r="H77" s="219"/>
      <c r="I77" s="219"/>
      <c r="J77" s="219"/>
      <c r="K77" s="220"/>
    </row>
    <row r="78" spans="1:11" x14ac:dyDescent="0.25">
      <c r="A78" s="140" t="s">
        <v>96</v>
      </c>
      <c r="B78" s="132" t="s">
        <v>160</v>
      </c>
      <c r="C78" s="218"/>
      <c r="D78" s="219"/>
      <c r="E78" s="219"/>
      <c r="F78" s="219"/>
      <c r="G78" s="219"/>
      <c r="H78" s="219"/>
      <c r="I78" s="219"/>
      <c r="J78" s="219"/>
      <c r="K78" s="220"/>
    </row>
    <row r="79" spans="1:11" x14ac:dyDescent="0.25">
      <c r="A79" s="140" t="s">
        <v>97</v>
      </c>
      <c r="B79" s="132" t="s">
        <v>161</v>
      </c>
      <c r="C79" s="218"/>
      <c r="D79" s="219"/>
      <c r="E79" s="219"/>
      <c r="F79" s="219"/>
      <c r="G79" s="219"/>
      <c r="H79" s="219"/>
      <c r="I79" s="219"/>
      <c r="J79" s="219"/>
      <c r="K79" s="220"/>
    </row>
    <row r="80" spans="1:11" x14ac:dyDescent="0.25">
      <c r="A80" s="140" t="s">
        <v>98</v>
      </c>
      <c r="B80" s="132" t="s">
        <v>162</v>
      </c>
      <c r="C80" s="218"/>
      <c r="D80" s="219"/>
      <c r="E80" s="219"/>
      <c r="F80" s="219"/>
      <c r="G80" s="219"/>
      <c r="H80" s="219"/>
      <c r="I80" s="219"/>
      <c r="J80" s="219"/>
      <c r="K80" s="220"/>
    </row>
    <row r="81" spans="1:11" x14ac:dyDescent="0.25">
      <c r="A81" s="140" t="s">
        <v>99</v>
      </c>
      <c r="B81" s="132" t="s">
        <v>163</v>
      </c>
      <c r="C81" s="218"/>
      <c r="D81" s="219"/>
      <c r="E81" s="219"/>
      <c r="F81" s="219"/>
      <c r="G81" s="219"/>
      <c r="H81" s="219"/>
      <c r="I81" s="219"/>
      <c r="J81" s="219"/>
      <c r="K81" s="220"/>
    </row>
    <row r="82" spans="1:11" x14ac:dyDescent="0.25">
      <c r="A82" s="140" t="s">
        <v>100</v>
      </c>
      <c r="B82" s="132" t="s">
        <v>164</v>
      </c>
      <c r="C82" s="218"/>
      <c r="D82" s="219"/>
      <c r="E82" s="219"/>
      <c r="F82" s="219"/>
      <c r="G82" s="219"/>
      <c r="H82" s="219"/>
      <c r="I82" s="219"/>
      <c r="J82" s="219"/>
      <c r="K82" s="220"/>
    </row>
    <row r="83" spans="1:11" x14ac:dyDescent="0.25">
      <c r="A83" s="137" t="s">
        <v>111</v>
      </c>
      <c r="B83" s="131" t="s">
        <v>165</v>
      </c>
      <c r="C83" s="218"/>
      <c r="D83" s="219"/>
      <c r="E83" s="219"/>
      <c r="F83" s="219"/>
      <c r="G83" s="219"/>
      <c r="H83" s="219"/>
      <c r="I83" s="219"/>
      <c r="J83" s="219"/>
      <c r="K83" s="220"/>
    </row>
    <row r="84" spans="1:11" x14ac:dyDescent="0.25">
      <c r="A84" s="140" t="s">
        <v>101</v>
      </c>
      <c r="B84" s="141" t="s">
        <v>166</v>
      </c>
      <c r="C84" s="218"/>
      <c r="D84" s="219"/>
      <c r="E84" s="219"/>
      <c r="F84" s="219"/>
      <c r="G84" s="219"/>
      <c r="H84" s="219"/>
      <c r="I84" s="219"/>
      <c r="J84" s="219"/>
      <c r="K84" s="220"/>
    </row>
    <row r="85" spans="1:11" x14ac:dyDescent="0.25">
      <c r="A85" s="140" t="s">
        <v>61</v>
      </c>
      <c r="B85" s="132" t="s">
        <v>167</v>
      </c>
      <c r="C85" s="218"/>
      <c r="D85" s="219"/>
      <c r="E85" s="219"/>
      <c r="F85" s="219"/>
      <c r="G85" s="219"/>
      <c r="H85" s="219"/>
      <c r="I85" s="219"/>
      <c r="J85" s="219"/>
      <c r="K85" s="220"/>
    </row>
    <row r="86" spans="1:11" x14ac:dyDescent="0.25">
      <c r="A86" s="140" t="s">
        <v>62</v>
      </c>
      <c r="B86" s="132" t="s">
        <v>168</v>
      </c>
      <c r="C86" s="218"/>
      <c r="D86" s="219"/>
      <c r="E86" s="219"/>
      <c r="F86" s="219"/>
      <c r="G86" s="219"/>
      <c r="H86" s="219"/>
      <c r="I86" s="219"/>
      <c r="J86" s="219"/>
      <c r="K86" s="220"/>
    </row>
    <row r="87" spans="1:11" x14ac:dyDescent="0.25">
      <c r="A87" s="140" t="s">
        <v>63</v>
      </c>
      <c r="B87" s="132" t="s">
        <v>169</v>
      </c>
      <c r="C87" s="218"/>
      <c r="D87" s="219"/>
      <c r="E87" s="219"/>
      <c r="F87" s="219"/>
      <c r="G87" s="219"/>
      <c r="H87" s="219"/>
      <c r="I87" s="219"/>
      <c r="J87" s="219"/>
      <c r="K87" s="220"/>
    </row>
    <row r="88" spans="1:11" x14ac:dyDescent="0.25">
      <c r="A88" s="140" t="s">
        <v>102</v>
      </c>
      <c r="B88" s="141" t="s">
        <v>170</v>
      </c>
      <c r="C88" s="218"/>
      <c r="D88" s="219"/>
      <c r="E88" s="219"/>
      <c r="F88" s="219"/>
      <c r="G88" s="219"/>
      <c r="H88" s="219"/>
      <c r="I88" s="219"/>
      <c r="J88" s="219"/>
      <c r="K88" s="220"/>
    </row>
    <row r="89" spans="1:11" x14ac:dyDescent="0.25">
      <c r="A89" s="140" t="s">
        <v>64</v>
      </c>
      <c r="B89" s="132" t="s">
        <v>171</v>
      </c>
      <c r="C89" s="218"/>
      <c r="D89" s="219"/>
      <c r="E89" s="219"/>
      <c r="F89" s="219"/>
      <c r="G89" s="219"/>
      <c r="H89" s="219"/>
      <c r="I89" s="219"/>
      <c r="J89" s="219"/>
      <c r="K89" s="220"/>
    </row>
    <row r="90" spans="1:11" x14ac:dyDescent="0.25">
      <c r="A90" s="140" t="s">
        <v>65</v>
      </c>
      <c r="B90" s="132" t="s">
        <v>172</v>
      </c>
      <c r="C90" s="218"/>
      <c r="D90" s="219"/>
      <c r="E90" s="219"/>
      <c r="F90" s="219"/>
      <c r="G90" s="219"/>
      <c r="H90" s="219"/>
      <c r="I90" s="219"/>
      <c r="J90" s="219"/>
      <c r="K90" s="220"/>
    </row>
    <row r="91" spans="1:11" x14ac:dyDescent="0.25">
      <c r="A91" s="140" t="s">
        <v>66</v>
      </c>
      <c r="B91" s="132" t="s">
        <v>117</v>
      </c>
      <c r="C91" s="218"/>
      <c r="D91" s="219"/>
      <c r="E91" s="219"/>
      <c r="F91" s="219"/>
      <c r="G91" s="219"/>
      <c r="H91" s="219"/>
      <c r="I91" s="219"/>
      <c r="J91" s="219"/>
      <c r="K91" s="220"/>
    </row>
    <row r="92" spans="1:11" x14ac:dyDescent="0.25">
      <c r="A92" s="140" t="s">
        <v>103</v>
      </c>
      <c r="B92" s="141" t="s">
        <v>173</v>
      </c>
      <c r="C92" s="218"/>
      <c r="D92" s="219"/>
      <c r="E92" s="219"/>
      <c r="F92" s="219"/>
      <c r="G92" s="219"/>
      <c r="H92" s="219"/>
      <c r="I92" s="219"/>
      <c r="J92" s="219"/>
      <c r="K92" s="220"/>
    </row>
    <row r="93" spans="1:11" x14ac:dyDescent="0.25">
      <c r="A93" s="140" t="s">
        <v>67</v>
      </c>
      <c r="B93" s="132" t="s">
        <v>174</v>
      </c>
      <c r="C93" s="218"/>
      <c r="D93" s="219"/>
      <c r="E93" s="219"/>
      <c r="F93" s="219"/>
      <c r="G93" s="219"/>
      <c r="H93" s="219"/>
      <c r="I93" s="219"/>
      <c r="J93" s="219"/>
      <c r="K93" s="220"/>
    </row>
    <row r="94" spans="1:11" x14ac:dyDescent="0.25">
      <c r="A94" s="140" t="s">
        <v>68</v>
      </c>
      <c r="B94" s="132" t="s">
        <v>175</v>
      </c>
      <c r="C94" s="218"/>
      <c r="D94" s="219"/>
      <c r="E94" s="219"/>
      <c r="F94" s="219"/>
      <c r="G94" s="219"/>
      <c r="H94" s="219"/>
      <c r="I94" s="219"/>
      <c r="J94" s="219"/>
      <c r="K94" s="220"/>
    </row>
    <row r="95" spans="1:11" x14ac:dyDescent="0.25">
      <c r="A95" s="140" t="s">
        <v>69</v>
      </c>
      <c r="B95" s="132" t="s">
        <v>117</v>
      </c>
      <c r="C95" s="218"/>
      <c r="D95" s="219"/>
      <c r="E95" s="219"/>
      <c r="F95" s="219"/>
      <c r="G95" s="219"/>
      <c r="H95" s="219"/>
      <c r="I95" s="219"/>
      <c r="J95" s="219"/>
      <c r="K95" s="220"/>
    </row>
    <row r="96" spans="1:11" x14ac:dyDescent="0.25">
      <c r="A96" s="140" t="s">
        <v>104</v>
      </c>
      <c r="B96" s="132" t="s">
        <v>117</v>
      </c>
      <c r="C96" s="218"/>
      <c r="D96" s="219"/>
      <c r="E96" s="219"/>
      <c r="F96" s="219"/>
      <c r="G96" s="219"/>
      <c r="H96" s="219"/>
      <c r="I96" s="219"/>
      <c r="J96" s="219"/>
      <c r="K96" s="220"/>
    </row>
    <row r="97" spans="1:11" x14ac:dyDescent="0.25">
      <c r="A97" s="137" t="s">
        <v>112</v>
      </c>
      <c r="B97" s="131" t="s">
        <v>117</v>
      </c>
      <c r="C97" s="218"/>
      <c r="D97" s="219"/>
      <c r="E97" s="219"/>
      <c r="F97" s="219"/>
      <c r="G97" s="219"/>
      <c r="H97" s="219"/>
      <c r="I97" s="219"/>
      <c r="J97" s="219"/>
      <c r="K97" s="220"/>
    </row>
    <row r="98" spans="1:11" x14ac:dyDescent="0.25">
      <c r="A98" s="140" t="s">
        <v>70</v>
      </c>
      <c r="B98" s="132" t="s">
        <v>176</v>
      </c>
      <c r="C98" s="218"/>
      <c r="D98" s="219"/>
      <c r="E98" s="219"/>
      <c r="F98" s="219"/>
      <c r="G98" s="219"/>
      <c r="H98" s="219"/>
      <c r="I98" s="219"/>
      <c r="J98" s="219"/>
      <c r="K98" s="220"/>
    </row>
    <row r="99" spans="1:11" x14ac:dyDescent="0.25">
      <c r="A99" s="140" t="s">
        <v>71</v>
      </c>
      <c r="B99" s="132" t="s">
        <v>177</v>
      </c>
      <c r="C99" s="218"/>
      <c r="D99" s="219"/>
      <c r="E99" s="219"/>
      <c r="F99" s="219"/>
      <c r="G99" s="219"/>
      <c r="H99" s="219"/>
      <c r="I99" s="219"/>
      <c r="J99" s="219"/>
      <c r="K99" s="220"/>
    </row>
    <row r="100" spans="1:11" x14ac:dyDescent="0.25">
      <c r="A100" s="140" t="s">
        <v>72</v>
      </c>
      <c r="B100" s="132" t="s">
        <v>117</v>
      </c>
      <c r="C100" s="221"/>
      <c r="D100" s="222"/>
      <c r="E100" s="222"/>
      <c r="F100" s="222"/>
      <c r="G100" s="222"/>
      <c r="H100" s="222"/>
      <c r="I100" s="222"/>
      <c r="J100" s="222"/>
      <c r="K100" s="223"/>
    </row>
  </sheetData>
  <mergeCells count="33">
    <mergeCell ref="C2:K2"/>
    <mergeCell ref="A1:B1"/>
    <mergeCell ref="E60:H61"/>
    <mergeCell ref="I60:J61"/>
    <mergeCell ref="C3:K3"/>
    <mergeCell ref="C4:K4"/>
    <mergeCell ref="C5:K7"/>
    <mergeCell ref="C8:K8"/>
    <mergeCell ref="C9:K9"/>
    <mergeCell ref="C10:K22"/>
    <mergeCell ref="C23:K25"/>
    <mergeCell ref="C26:K26"/>
    <mergeCell ref="C28:K35"/>
    <mergeCell ref="C36:K36"/>
    <mergeCell ref="C37:K37"/>
    <mergeCell ref="C38:K38"/>
    <mergeCell ref="C39:K50"/>
    <mergeCell ref="C51:K54"/>
    <mergeCell ref="C55:K55"/>
    <mergeCell ref="C56:K57"/>
    <mergeCell ref="C62:K62"/>
    <mergeCell ref="C59:K59"/>
    <mergeCell ref="K60:K61"/>
    <mergeCell ref="C58:D58"/>
    <mergeCell ref="C60:D61"/>
    <mergeCell ref="C68:K100"/>
    <mergeCell ref="C66:K66"/>
    <mergeCell ref="C67:K67"/>
    <mergeCell ref="C63:K63"/>
    <mergeCell ref="E58:F58"/>
    <mergeCell ref="G58:H58"/>
    <mergeCell ref="I58:J58"/>
    <mergeCell ref="C64:K65"/>
  </mergeCells>
  <hyperlinks>
    <hyperlink ref="E60" r:id="rId1" display="IBM Data 2007"/>
    <hyperlink ref="J27" r:id="rId2" display="IBM Data (2012-13)"/>
    <hyperlink ref="H27" r:id="rId3"/>
    <hyperlink ref="E27" r:id="rId4"/>
    <hyperlink ref="I60" r:id="rId5" display="IBM Data (2012-13)"/>
    <hyperlink ref="F27" r:id="rId6"/>
    <hyperlink ref="G27" r:id="rId7" display="IBM Data 2010 "/>
    <hyperlink ref="I27" r:id="rId8" display="IBM Data (2012-13)"/>
    <hyperlink ref="G58" r:id="rId9"/>
    <hyperlink ref="H58" r:id="rId10" display="http://ibm.nic.in/writereaddata/files/07092014130344IMYB-2012- Aluminium &amp; Alumina.pdf"/>
    <hyperlink ref="I58" r:id="rId11"/>
    <hyperlink ref="J58" r:id="rId12" display="http://ibm.nic.in/writereaddata/files/05282015122910Aluminium &amp; Alumina_2013.pdf"/>
    <hyperlink ref="E58" r:id="rId13"/>
    <hyperlink ref="F58" r:id="rId14" display="http://www.mcxindia.com/downloads/overview/PDF/2010/Non-Agricultural/Aluminium.pdf"/>
    <hyperlink ref="K27" r:id="rId15" display="IBM Data (2012-13)"/>
    <hyperlink ref="C8" r:id="rId16" display="CIL Data"/>
    <hyperlink ref="C27" r:id="rId17"/>
    <hyperlink ref="D27" r:id="rId18"/>
    <hyperlink ref="C39" r:id="rId19" display="Chemicals and Petrochemicals statistics (Ministry of chemicals and fertilizers)"/>
    <hyperlink ref="K58" r:id="rId20"/>
    <hyperlink ref="L58" r:id="rId21" display="http://ibm.nic.in/writereaddata/files/05282015122910Aluminium &amp; Alumina_2013.pdf"/>
    <hyperlink ref="K60:K61" r:id="rId22" display="IBM mineral yearbook 2014"/>
    <hyperlink ref="C58" r:id="rId23"/>
    <hyperlink ref="C60:D61" r:id="rId24" display="IBM Data"/>
  </hyperlink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1</vt:i4>
      </vt:variant>
      <vt:variant>
        <vt:lpstr>Named Ranges</vt:lpstr>
      </vt:variant>
      <vt:variant>
        <vt:i4>1</vt:i4>
      </vt:variant>
    </vt:vector>
  </HeadingPairs>
  <TitlesOfParts>
    <vt:vector size="11" baseType="lpstr">
      <vt:lpstr>Introduction</vt:lpstr>
      <vt:lpstr>Reference</vt:lpstr>
      <vt:lpstr>1</vt:lpstr>
      <vt:lpstr>2</vt:lpstr>
      <vt:lpstr>4</vt:lpstr>
      <vt:lpstr>5</vt:lpstr>
      <vt:lpstr>6</vt:lpstr>
      <vt:lpstr>7</vt:lpstr>
      <vt:lpstr>8</vt:lpstr>
      <vt:lpstr>3</vt:lpstr>
      <vt:lpst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2016-04-04T06:11:33Z</cp:lastPrinted>
  <dcterms:created xsi:type="dcterms:W3CDTF">2006-09-16T00:00:00Z</dcterms:created>
  <dcterms:modified xsi:type="dcterms:W3CDTF">2017-12-07T07:02:02Z</dcterms:modified>
</cp:coreProperties>
</file>