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filterPrivacy="1" hidePivotFieldList="1"/>
  <xr:revisionPtr revIDLastSave="0" documentId="13_ncr:1_{FBDC41FE-E71E-4A90-BE33-6B057DDDCBA1}" xr6:coauthVersionLast="44" xr6:coauthVersionMax="44" xr10:uidLastSave="{00000000-0000-0000-0000-000000000000}"/>
  <bookViews>
    <workbookView xWindow="-120" yWindow="-120" windowWidth="20730" windowHeight="11160" tabRatio="880" xr2:uid="{00000000-000D-0000-FFFF-FFFF00000000}"/>
  </bookViews>
  <sheets>
    <sheet name="Introduction" sheetId="21" r:id="rId1"/>
    <sheet name="Description" sheetId="19" r:id="rId2"/>
    <sheet name="1" sheetId="1" r:id="rId3"/>
    <sheet name="2" sheetId="20" r:id="rId4"/>
    <sheet name="3" sheetId="17" r:id="rId5"/>
    <sheet name="4" sheetId="18" r:id="rId6"/>
    <sheet name="5" sheetId="16" r:id="rId7"/>
    <sheet name="6" sheetId="6" r:id="rId8"/>
    <sheet name="7" sheetId="5" r:id="rId9"/>
    <sheet name="8" sheetId="12" r:id="rId10"/>
    <sheet name="9" sheetId="14" r:id="rId11"/>
  </sheets>
  <definedNames>
    <definedName name="_xlnm.Print_Area" localSheetId="2">'1'!$B$105:$K$106</definedName>
  </definedNames>
  <calcPr calcId="181029"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I7" i="1" l="1"/>
  <c r="J7" i="1"/>
  <c r="P7" i="1"/>
  <c r="I8" i="1"/>
  <c r="J8" i="1"/>
  <c r="I9" i="1"/>
  <c r="J9" i="1"/>
  <c r="I10" i="1"/>
  <c r="J10" i="1"/>
  <c r="I12" i="1"/>
  <c r="J12" i="1"/>
  <c r="P12" i="1"/>
  <c r="I13" i="1"/>
  <c r="J13" i="1"/>
  <c r="P13" i="1"/>
  <c r="I14" i="1"/>
  <c r="J14" i="1"/>
  <c r="I15" i="1"/>
  <c r="J15" i="1"/>
  <c r="I16" i="1"/>
  <c r="J16" i="1"/>
  <c r="P16" i="1"/>
  <c r="H14" i="20"/>
  <c r="I17" i="1"/>
  <c r="J17" i="1"/>
  <c r="J18" i="1"/>
  <c r="P18" i="1"/>
  <c r="H16" i="20"/>
  <c r="I19" i="1"/>
  <c r="J19" i="1"/>
  <c r="I20" i="1"/>
  <c r="J20" i="1"/>
  <c r="I21" i="1"/>
  <c r="J21" i="1"/>
  <c r="J22" i="1"/>
  <c r="P22" i="1"/>
  <c r="H18" i="20"/>
  <c r="I23" i="1"/>
  <c r="J23" i="1"/>
  <c r="I24" i="1"/>
  <c r="J24" i="1"/>
  <c r="P24" i="1"/>
  <c r="H20" i="20"/>
  <c r="I29" i="1"/>
  <c r="J29" i="1"/>
  <c r="I30" i="1"/>
  <c r="J30" i="1"/>
  <c r="P30" i="1"/>
  <c r="I31" i="1"/>
  <c r="J31" i="1"/>
  <c r="P31" i="1"/>
  <c r="I32" i="1"/>
  <c r="J32" i="1"/>
  <c r="P32" i="1"/>
  <c r="I33" i="1"/>
  <c r="J33" i="1"/>
  <c r="I34" i="1"/>
  <c r="J34" i="1"/>
  <c r="P34" i="1"/>
  <c r="I35" i="1"/>
  <c r="J35" i="1"/>
  <c r="P35" i="1"/>
  <c r="I36" i="1"/>
  <c r="J36" i="1"/>
  <c r="P36" i="1"/>
  <c r="I37" i="1"/>
  <c r="J37" i="1"/>
  <c r="I39" i="1"/>
  <c r="J39" i="1"/>
  <c r="P39" i="1"/>
  <c r="I40" i="1"/>
  <c r="J40" i="1"/>
  <c r="I42" i="1"/>
  <c r="J42" i="1"/>
  <c r="I43" i="1"/>
  <c r="J43" i="1"/>
  <c r="I44" i="1"/>
  <c r="J44" i="1"/>
  <c r="I45" i="1"/>
  <c r="J45" i="1"/>
  <c r="I46" i="1"/>
  <c r="J46" i="1"/>
  <c r="I47" i="1"/>
  <c r="J47" i="1"/>
  <c r="I48" i="1"/>
  <c r="J48" i="1"/>
  <c r="P48" i="1"/>
  <c r="I49" i="1"/>
  <c r="J49" i="1"/>
  <c r="I50" i="1"/>
  <c r="J50" i="1"/>
  <c r="I51" i="1"/>
  <c r="J51" i="1"/>
  <c r="P51" i="1"/>
  <c r="I52" i="1"/>
  <c r="J52" i="1"/>
  <c r="I58" i="1"/>
  <c r="J58" i="1"/>
  <c r="I59" i="1"/>
  <c r="J59" i="1"/>
  <c r="I60" i="1"/>
  <c r="J60" i="1"/>
  <c r="P60" i="1"/>
  <c r="I61" i="1"/>
  <c r="J61" i="1"/>
  <c r="P61" i="1"/>
  <c r="I62" i="1"/>
  <c r="J62" i="1"/>
  <c r="I63" i="1"/>
  <c r="J63" i="1"/>
  <c r="P63" i="1"/>
  <c r="I64" i="1"/>
  <c r="J64" i="1"/>
  <c r="I66" i="1"/>
  <c r="J66" i="1"/>
  <c r="I67" i="1"/>
  <c r="J67" i="1"/>
  <c r="J68" i="1"/>
  <c r="J69" i="1"/>
  <c r="J65" i="1"/>
  <c r="I68" i="1"/>
  <c r="I69" i="1"/>
  <c r="P70" i="1"/>
  <c r="P76" i="1"/>
  <c r="P85" i="1"/>
  <c r="P99" i="1"/>
  <c r="H7" i="1"/>
  <c r="O7" i="1"/>
  <c r="H8" i="1"/>
  <c r="O8" i="1"/>
  <c r="H9" i="1"/>
  <c r="O9" i="1"/>
  <c r="H10" i="1"/>
  <c r="O10" i="1"/>
  <c r="H12" i="1"/>
  <c r="O12" i="1"/>
  <c r="H13" i="1"/>
  <c r="H14" i="1"/>
  <c r="H15" i="1"/>
  <c r="H16" i="1"/>
  <c r="O16" i="1"/>
  <c r="G14" i="20"/>
  <c r="H17" i="1"/>
  <c r="O17" i="1"/>
  <c r="O18" i="1"/>
  <c r="H19" i="1"/>
  <c r="O19" i="1"/>
  <c r="G19" i="20"/>
  <c r="H20" i="1"/>
  <c r="H21" i="1"/>
  <c r="O21" i="1"/>
  <c r="G17" i="20"/>
  <c r="O22" i="1"/>
  <c r="H23" i="1"/>
  <c r="O23" i="1"/>
  <c r="G13" i="20"/>
  <c r="H24" i="1"/>
  <c r="H29" i="1"/>
  <c r="O29" i="1"/>
  <c r="H30" i="1"/>
  <c r="G30" i="1"/>
  <c r="N30" i="1"/>
  <c r="H31" i="1"/>
  <c r="O31" i="1"/>
  <c r="H32" i="1"/>
  <c r="H33" i="1"/>
  <c r="O33" i="1"/>
  <c r="H34" i="1"/>
  <c r="O34" i="1"/>
  <c r="H35" i="1"/>
  <c r="O35" i="1"/>
  <c r="H36" i="1"/>
  <c r="H37" i="1"/>
  <c r="O37" i="1"/>
  <c r="H39" i="1"/>
  <c r="H40" i="1"/>
  <c r="H42" i="1"/>
  <c r="H43" i="1"/>
  <c r="O43" i="1"/>
  <c r="H44" i="1"/>
  <c r="H45" i="1"/>
  <c r="H46" i="1"/>
  <c r="H47" i="1"/>
  <c r="O47" i="1"/>
  <c r="H48" i="1"/>
  <c r="H49" i="1"/>
  <c r="H50" i="1"/>
  <c r="H51" i="1"/>
  <c r="O51" i="1"/>
  <c r="H52" i="1"/>
  <c r="O52" i="1"/>
  <c r="H58" i="1"/>
  <c r="H59" i="1"/>
  <c r="O59" i="1"/>
  <c r="G7" i="20"/>
  <c r="H60" i="1"/>
  <c r="O60" i="1"/>
  <c r="H61" i="1"/>
  <c r="O61" i="1"/>
  <c r="H62" i="1"/>
  <c r="O62" i="1"/>
  <c r="H63" i="1"/>
  <c r="O63" i="1"/>
  <c r="H64" i="1"/>
  <c r="H66" i="1"/>
  <c r="O66" i="1"/>
  <c r="H67" i="1"/>
  <c r="O67" i="1"/>
  <c r="H68" i="1"/>
  <c r="O68" i="1"/>
  <c r="H69" i="1"/>
  <c r="O70" i="1"/>
  <c r="O76" i="1"/>
  <c r="O85" i="1"/>
  <c r="O99" i="1"/>
  <c r="G7" i="1"/>
  <c r="N7" i="1"/>
  <c r="G8" i="1"/>
  <c r="N8" i="1"/>
  <c r="G9" i="1"/>
  <c r="N9" i="1"/>
  <c r="G12" i="18"/>
  <c r="F12" i="18"/>
  <c r="H12" i="18"/>
  <c r="G10" i="1"/>
  <c r="G12" i="1"/>
  <c r="G13" i="1"/>
  <c r="N13" i="1"/>
  <c r="G14" i="1"/>
  <c r="N14" i="1"/>
  <c r="G15" i="1"/>
  <c r="N15" i="1"/>
  <c r="F15" i="20"/>
  <c r="G17" i="18"/>
  <c r="F17" i="18"/>
  <c r="H17" i="18"/>
  <c r="G16" i="1"/>
  <c r="G17" i="1"/>
  <c r="G18" i="1"/>
  <c r="N18" i="1"/>
  <c r="F16" i="20"/>
  <c r="G18" i="18"/>
  <c r="H18" i="18"/>
  <c r="G19" i="1"/>
  <c r="F19" i="1"/>
  <c r="M19" i="1"/>
  <c r="E19" i="20"/>
  <c r="G20" i="1"/>
  <c r="N20" i="1"/>
  <c r="F12" i="20"/>
  <c r="G14" i="18"/>
  <c r="G21" i="1"/>
  <c r="G22" i="1"/>
  <c r="N22" i="1"/>
  <c r="F18" i="20"/>
  <c r="G23" i="1"/>
  <c r="N23" i="1"/>
  <c r="F13" i="20"/>
  <c r="G15" i="18"/>
  <c r="F15" i="18"/>
  <c r="H15" i="18"/>
  <c r="G24" i="1"/>
  <c r="G29" i="1"/>
  <c r="N29" i="1"/>
  <c r="G31" i="1"/>
  <c r="G32" i="1"/>
  <c r="N32" i="1"/>
  <c r="G33" i="1"/>
  <c r="N33" i="1"/>
  <c r="G34" i="1"/>
  <c r="G35" i="1"/>
  <c r="N35" i="1"/>
  <c r="G36" i="1"/>
  <c r="N36" i="1"/>
  <c r="G37" i="1"/>
  <c r="G39" i="1"/>
  <c r="N39" i="1"/>
  <c r="G40" i="1"/>
  <c r="N40" i="1"/>
  <c r="G42" i="1"/>
  <c r="G43" i="1"/>
  <c r="G44" i="1"/>
  <c r="N44" i="1"/>
  <c r="G45" i="1"/>
  <c r="N45" i="1"/>
  <c r="G46" i="1"/>
  <c r="G47" i="1"/>
  <c r="G48" i="1"/>
  <c r="N48" i="1"/>
  <c r="G49" i="1"/>
  <c r="N49" i="1"/>
  <c r="G50" i="1"/>
  <c r="G51" i="1"/>
  <c r="G52" i="1"/>
  <c r="N52" i="1"/>
  <c r="G58" i="1"/>
  <c r="N58" i="1"/>
  <c r="G59" i="1"/>
  <c r="N59" i="1"/>
  <c r="G60" i="1"/>
  <c r="N60" i="1"/>
  <c r="G61" i="1"/>
  <c r="N61" i="1"/>
  <c r="G62" i="1"/>
  <c r="G63" i="1"/>
  <c r="G64" i="1"/>
  <c r="N64" i="1"/>
  <c r="G66" i="1"/>
  <c r="N66" i="1"/>
  <c r="G67" i="1"/>
  <c r="G68" i="1"/>
  <c r="N68" i="1"/>
  <c r="G69" i="1"/>
  <c r="N69" i="1"/>
  <c r="N70" i="1"/>
  <c r="N76" i="1"/>
  <c r="N85" i="1"/>
  <c r="N99" i="1"/>
  <c r="F7" i="1"/>
  <c r="F8" i="1"/>
  <c r="F9" i="1"/>
  <c r="F10" i="1"/>
  <c r="M10" i="1"/>
  <c r="F12" i="1"/>
  <c r="F13" i="1"/>
  <c r="F14" i="1"/>
  <c r="M14" i="1"/>
  <c r="F15" i="1"/>
  <c r="M15" i="1"/>
  <c r="E15" i="20"/>
  <c r="F16" i="1"/>
  <c r="F17" i="1"/>
  <c r="M17" i="1"/>
  <c r="F18" i="1"/>
  <c r="F20" i="1"/>
  <c r="M20" i="1"/>
  <c r="E12" i="20"/>
  <c r="F21" i="1"/>
  <c r="F22" i="1"/>
  <c r="M22" i="1"/>
  <c r="E18" i="20"/>
  <c r="F23" i="1"/>
  <c r="F24" i="1"/>
  <c r="F29" i="1"/>
  <c r="E29" i="1"/>
  <c r="L29" i="1"/>
  <c r="F30" i="1"/>
  <c r="M30" i="1"/>
  <c r="F31" i="1"/>
  <c r="F32" i="1"/>
  <c r="F33" i="1"/>
  <c r="E33" i="1"/>
  <c r="L33" i="1"/>
  <c r="M33" i="1"/>
  <c r="F34" i="1"/>
  <c r="M34" i="1"/>
  <c r="F35" i="1"/>
  <c r="F36" i="1"/>
  <c r="F37" i="1"/>
  <c r="M37" i="1"/>
  <c r="F39" i="1"/>
  <c r="M39" i="1"/>
  <c r="F40" i="1"/>
  <c r="F42" i="1"/>
  <c r="M42" i="1"/>
  <c r="F43" i="1"/>
  <c r="M43" i="1"/>
  <c r="F44" i="1"/>
  <c r="F45" i="1"/>
  <c r="F46" i="1"/>
  <c r="M46" i="1"/>
  <c r="F47" i="1"/>
  <c r="M47" i="1"/>
  <c r="F48" i="1"/>
  <c r="M48" i="1"/>
  <c r="F49" i="1"/>
  <c r="M49" i="1"/>
  <c r="F50" i="1"/>
  <c r="M50" i="1"/>
  <c r="F51" i="1"/>
  <c r="F52" i="1"/>
  <c r="F58" i="1"/>
  <c r="M58" i="1"/>
  <c r="F59" i="1"/>
  <c r="F60" i="1"/>
  <c r="F61" i="1"/>
  <c r="E61" i="1"/>
  <c r="L61" i="1"/>
  <c r="M61" i="1"/>
  <c r="F62" i="1"/>
  <c r="M62" i="1"/>
  <c r="F63" i="1"/>
  <c r="F64" i="1"/>
  <c r="F66" i="1"/>
  <c r="M66" i="1"/>
  <c r="F67" i="1"/>
  <c r="M67" i="1"/>
  <c r="F68" i="1"/>
  <c r="F69" i="1"/>
  <c r="M70" i="1"/>
  <c r="M76" i="1"/>
  <c r="M85" i="1"/>
  <c r="M99" i="1"/>
  <c r="D7" i="1"/>
  <c r="E7" i="1"/>
  <c r="D8" i="1"/>
  <c r="E8" i="1"/>
  <c r="K8" i="1"/>
  <c r="L8" i="1"/>
  <c r="D9" i="1"/>
  <c r="E9" i="1"/>
  <c r="K9" i="1"/>
  <c r="D10" i="1"/>
  <c r="E10" i="1"/>
  <c r="D12" i="1"/>
  <c r="E12" i="1"/>
  <c r="D13" i="1"/>
  <c r="E13" i="1"/>
  <c r="D14" i="1"/>
  <c r="E14" i="1"/>
  <c r="K14" i="1"/>
  <c r="D39" i="1"/>
  <c r="E39" i="1"/>
  <c r="K39" i="1"/>
  <c r="D40" i="1"/>
  <c r="E40" i="1"/>
  <c r="K40" i="1"/>
  <c r="D42" i="1"/>
  <c r="E42" i="1"/>
  <c r="K42" i="1"/>
  <c r="D43" i="1"/>
  <c r="E43" i="1"/>
  <c r="K43" i="1"/>
  <c r="D44" i="1"/>
  <c r="E44" i="1"/>
  <c r="K44" i="1"/>
  <c r="D45" i="1"/>
  <c r="E45" i="1"/>
  <c r="K45" i="1"/>
  <c r="D46" i="1"/>
  <c r="E46" i="1"/>
  <c r="K46" i="1"/>
  <c r="D47" i="1"/>
  <c r="E47" i="1"/>
  <c r="K47" i="1"/>
  <c r="D48" i="1"/>
  <c r="E48" i="1"/>
  <c r="K48" i="1"/>
  <c r="D49" i="1"/>
  <c r="E49" i="1"/>
  <c r="K49" i="1"/>
  <c r="D50" i="1"/>
  <c r="E50" i="1"/>
  <c r="K50" i="1"/>
  <c r="D51" i="1"/>
  <c r="E51" i="1"/>
  <c r="K51" i="1"/>
  <c r="D52" i="1"/>
  <c r="E52" i="1"/>
  <c r="K52" i="1"/>
  <c r="K38" i="1"/>
  <c r="C6" i="20"/>
  <c r="D6" i="18"/>
  <c r="C6" i="18"/>
  <c r="E6" i="18"/>
  <c r="D15" i="1"/>
  <c r="E15" i="1"/>
  <c r="K15" i="1"/>
  <c r="C15" i="20"/>
  <c r="D17" i="18"/>
  <c r="C17" i="18"/>
  <c r="E17" i="18"/>
  <c r="D16" i="1"/>
  <c r="E16" i="1"/>
  <c r="K16" i="1"/>
  <c r="C14" i="20"/>
  <c r="D16" i="18"/>
  <c r="C16" i="18"/>
  <c r="E16" i="18"/>
  <c r="D17" i="1"/>
  <c r="E17" i="1"/>
  <c r="D18" i="1"/>
  <c r="K18" i="1"/>
  <c r="C16" i="20"/>
  <c r="D18" i="18"/>
  <c r="D19" i="1"/>
  <c r="E19" i="1"/>
  <c r="L19" i="1"/>
  <c r="D19" i="20"/>
  <c r="D20" i="1"/>
  <c r="E20" i="1"/>
  <c r="D21" i="1"/>
  <c r="E21" i="1"/>
  <c r="D22" i="1"/>
  <c r="E22" i="1"/>
  <c r="L22" i="1"/>
  <c r="D18" i="20"/>
  <c r="D23" i="1"/>
  <c r="E23" i="1"/>
  <c r="L23" i="1"/>
  <c r="D13" i="20"/>
  <c r="D24" i="1"/>
  <c r="E24" i="1"/>
  <c r="L24" i="1"/>
  <c r="D20" i="20"/>
  <c r="D29" i="1"/>
  <c r="K29" i="1"/>
  <c r="D30" i="1"/>
  <c r="E30" i="1"/>
  <c r="K30" i="1"/>
  <c r="D31" i="1"/>
  <c r="E31" i="1"/>
  <c r="K31" i="1"/>
  <c r="D32" i="1"/>
  <c r="E32" i="1"/>
  <c r="K32" i="1"/>
  <c r="D33" i="1"/>
  <c r="K33" i="1"/>
  <c r="D34" i="1"/>
  <c r="E34" i="1"/>
  <c r="K34" i="1"/>
  <c r="D35" i="1"/>
  <c r="E35" i="1"/>
  <c r="K35" i="1"/>
  <c r="D36" i="1"/>
  <c r="E36" i="1"/>
  <c r="K36" i="1"/>
  <c r="D37" i="1"/>
  <c r="E37" i="1"/>
  <c r="K37" i="1"/>
  <c r="K28" i="1"/>
  <c r="D58" i="1"/>
  <c r="E58" i="1"/>
  <c r="K58" i="1"/>
  <c r="D59" i="1"/>
  <c r="E59" i="1"/>
  <c r="K59" i="1"/>
  <c r="D60" i="1"/>
  <c r="E60" i="1"/>
  <c r="K60" i="1"/>
  <c r="D61" i="1"/>
  <c r="K61" i="1"/>
  <c r="D62" i="1"/>
  <c r="E62" i="1"/>
  <c r="K62" i="1"/>
  <c r="D63" i="1"/>
  <c r="E63" i="1"/>
  <c r="K63" i="1"/>
  <c r="D64" i="1"/>
  <c r="E64" i="1"/>
  <c r="K64" i="1"/>
  <c r="K57" i="1"/>
  <c r="D66" i="1"/>
  <c r="E66" i="1"/>
  <c r="K66" i="1"/>
  <c r="D67" i="1"/>
  <c r="E67" i="1"/>
  <c r="K67" i="1"/>
  <c r="D68" i="1"/>
  <c r="E68" i="1"/>
  <c r="K68" i="1"/>
  <c r="D69" i="1"/>
  <c r="E69" i="1"/>
  <c r="K69" i="1"/>
  <c r="K65" i="1"/>
  <c r="K70" i="1"/>
  <c r="K76" i="1"/>
  <c r="K85" i="1"/>
  <c r="K99" i="1"/>
  <c r="L10" i="1"/>
  <c r="L32" i="1"/>
  <c r="L34" i="1"/>
  <c r="L35" i="1"/>
  <c r="L36" i="1"/>
  <c r="L39" i="1"/>
  <c r="L43" i="1"/>
  <c r="L44" i="1"/>
  <c r="L47" i="1"/>
  <c r="L48" i="1"/>
  <c r="L50" i="1"/>
  <c r="L59" i="1"/>
  <c r="D7" i="20"/>
  <c r="L62" i="1"/>
  <c r="L63" i="1"/>
  <c r="L70" i="1"/>
  <c r="L76" i="1"/>
  <c r="L85" i="1"/>
  <c r="L99" i="1"/>
  <c r="F23" i="18"/>
  <c r="F14" i="18"/>
  <c r="F11" i="18"/>
  <c r="F10" i="18"/>
  <c r="F9" i="18"/>
  <c r="F8" i="18"/>
  <c r="F7" i="18"/>
  <c r="F6" i="18"/>
  <c r="F5" i="18"/>
  <c r="C23" i="18"/>
  <c r="C15" i="18"/>
  <c r="C14" i="18"/>
  <c r="C11" i="18"/>
  <c r="C10" i="18"/>
  <c r="C9" i="18"/>
  <c r="C8" i="18"/>
  <c r="C7" i="18"/>
  <c r="C5" i="18"/>
  <c r="E8" i="16"/>
  <c r="D5" i="16"/>
  <c r="C4" i="16"/>
  <c r="D12" i="12"/>
  <c r="D13" i="12"/>
  <c r="D14" i="12"/>
  <c r="D15" i="12"/>
  <c r="D16" i="12"/>
  <c r="C12" i="12"/>
  <c r="C13" i="12"/>
  <c r="C14" i="12"/>
  <c r="C15" i="12"/>
  <c r="C16" i="12"/>
  <c r="C11" i="12"/>
  <c r="D11" i="12"/>
  <c r="E28" i="1"/>
  <c r="E57" i="1"/>
  <c r="E65" i="1"/>
  <c r="F57" i="1"/>
  <c r="I57" i="1"/>
  <c r="D28" i="1"/>
  <c r="D57" i="1"/>
  <c r="D65" i="1"/>
  <c r="D12" i="18"/>
  <c r="C10" i="20"/>
  <c r="D10" i="18"/>
  <c r="C7" i="20"/>
  <c r="D7" i="18"/>
  <c r="E70" i="1"/>
  <c r="F70" i="1"/>
  <c r="G70" i="1"/>
  <c r="H70" i="1"/>
  <c r="I70" i="1"/>
  <c r="J70" i="1"/>
  <c r="D76" i="1"/>
  <c r="E76" i="1"/>
  <c r="F76" i="1"/>
  <c r="G76" i="1"/>
  <c r="H76" i="1"/>
  <c r="I76" i="1"/>
  <c r="J76" i="1"/>
  <c r="D85" i="1"/>
  <c r="E85" i="1"/>
  <c r="F85" i="1"/>
  <c r="G85" i="1"/>
  <c r="H85" i="1"/>
  <c r="I85" i="1"/>
  <c r="J85" i="1"/>
  <c r="D99" i="1"/>
  <c r="E99" i="1"/>
  <c r="F99" i="1"/>
  <c r="G99" i="1"/>
  <c r="H99" i="1"/>
  <c r="I99" i="1"/>
  <c r="J99" i="1"/>
  <c r="D70" i="1"/>
  <c r="G20" i="18"/>
  <c r="G16" i="20"/>
  <c r="G18" i="20"/>
  <c r="F28" i="18"/>
  <c r="H23" i="18"/>
  <c r="F24" i="18"/>
  <c r="C28" i="18"/>
  <c r="C24" i="18"/>
  <c r="E10" i="18"/>
  <c r="E7" i="18"/>
  <c r="D20" i="6"/>
  <c r="G20" i="6"/>
  <c r="H20" i="6"/>
  <c r="F20" i="6"/>
  <c r="E20" i="6"/>
  <c r="B20" i="6"/>
  <c r="C20" i="6"/>
  <c r="C33" i="5"/>
  <c r="D33" i="5"/>
  <c r="E33" i="5"/>
  <c r="F33" i="5"/>
  <c r="G33" i="5"/>
  <c r="H33" i="5"/>
  <c r="B33" i="5"/>
  <c r="F38" i="1"/>
  <c r="E38" i="1"/>
  <c r="D38" i="1"/>
  <c r="G38" i="1"/>
  <c r="H57" i="1"/>
  <c r="L42" i="1"/>
  <c r="L30" i="1"/>
  <c r="M64" i="1"/>
  <c r="M52" i="1"/>
  <c r="M40" i="1"/>
  <c r="M44" i="1"/>
  <c r="M45" i="1"/>
  <c r="M51" i="1"/>
  <c r="M38" i="1"/>
  <c r="E6" i="20"/>
  <c r="N51" i="1"/>
  <c r="N42" i="1"/>
  <c r="N43" i="1"/>
  <c r="N46" i="1"/>
  <c r="N47" i="1"/>
  <c r="N50" i="1"/>
  <c r="N38" i="1"/>
  <c r="F6" i="20"/>
  <c r="G6" i="18"/>
  <c r="H6" i="18"/>
  <c r="O46" i="1"/>
  <c r="I38" i="1"/>
  <c r="H28" i="1"/>
  <c r="L58" i="1"/>
  <c r="L60" i="1"/>
  <c r="L64" i="1"/>
  <c r="L57" i="1"/>
  <c r="M68" i="1"/>
  <c r="M63" i="1"/>
  <c r="M60" i="1"/>
  <c r="M35" i="1"/>
  <c r="M32" i="1"/>
  <c r="N62" i="1"/>
  <c r="N63" i="1"/>
  <c r="N57" i="1"/>
  <c r="N34" i="1"/>
  <c r="O69" i="1"/>
  <c r="O58" i="1"/>
  <c r="G5" i="20"/>
  <c r="P47" i="1"/>
  <c r="P45" i="1"/>
  <c r="P43" i="1"/>
  <c r="P40" i="1"/>
  <c r="P42" i="1"/>
  <c r="P44" i="1"/>
  <c r="P46" i="1"/>
  <c r="P49" i="1"/>
  <c r="P50" i="1"/>
  <c r="P52" i="1"/>
  <c r="P38" i="1"/>
  <c r="P37" i="1"/>
  <c r="P29" i="1"/>
  <c r="P33" i="1"/>
  <c r="P28" i="1"/>
  <c r="F65" i="1"/>
  <c r="M36" i="1"/>
  <c r="M29" i="1"/>
  <c r="M31" i="1"/>
  <c r="M28" i="1"/>
  <c r="E9" i="20"/>
  <c r="N67" i="1"/>
  <c r="N31" i="1"/>
  <c r="O50" i="1"/>
  <c r="O42" i="1"/>
  <c r="O36" i="1"/>
  <c r="O30" i="1"/>
  <c r="P67" i="1"/>
  <c r="P62" i="1"/>
  <c r="P64" i="1"/>
  <c r="H8" i="20"/>
  <c r="G65" i="1"/>
  <c r="L52" i="1"/>
  <c r="L37" i="1"/>
  <c r="M59" i="1"/>
  <c r="E7" i="20"/>
  <c r="N37" i="1"/>
  <c r="O64" i="1"/>
  <c r="O48" i="1"/>
  <c r="O44" i="1"/>
  <c r="O39" i="1"/>
  <c r="O32" i="1"/>
  <c r="P59" i="1"/>
  <c r="H7" i="20"/>
  <c r="F28" i="1"/>
  <c r="L67" i="1"/>
  <c r="L51" i="1"/>
  <c r="L46" i="1"/>
  <c r="L31" i="1"/>
  <c r="P68" i="1"/>
  <c r="P66" i="1"/>
  <c r="P58" i="1"/>
  <c r="H5" i="20"/>
  <c r="L69" i="1"/>
  <c r="M69" i="1"/>
  <c r="I65" i="1"/>
  <c r="O28" i="1"/>
  <c r="P57" i="1"/>
  <c r="O65" i="1"/>
  <c r="G10" i="20"/>
  <c r="N65" i="1"/>
  <c r="F10" i="20"/>
  <c r="G10" i="18"/>
  <c r="H10" i="18"/>
  <c r="N28" i="1"/>
  <c r="M65" i="1"/>
  <c r="E10" i="20"/>
  <c r="F7" i="20"/>
  <c r="G7" i="18"/>
  <c r="H7" i="18"/>
  <c r="O57" i="1"/>
  <c r="J57" i="1"/>
  <c r="O49" i="1"/>
  <c r="O45" i="1"/>
  <c r="O40" i="1"/>
  <c r="F8" i="20"/>
  <c r="G8" i="18"/>
  <c r="H8" i="18"/>
  <c r="I28" i="1"/>
  <c r="L66" i="1"/>
  <c r="H38" i="1"/>
  <c r="J28" i="1"/>
  <c r="H65" i="1"/>
  <c r="G57" i="1"/>
  <c r="L49" i="1"/>
  <c r="L45" i="1"/>
  <c r="L40" i="1"/>
  <c r="P69" i="1"/>
  <c r="J38" i="1"/>
  <c r="G28" i="1"/>
  <c r="L68" i="1"/>
  <c r="G9" i="20"/>
  <c r="K22" i="1"/>
  <c r="C18" i="20"/>
  <c r="D20" i="18"/>
  <c r="L17" i="1"/>
  <c r="N12" i="1"/>
  <c r="G11" i="20"/>
  <c r="P21" i="1"/>
  <c r="H17" i="20"/>
  <c r="P19" i="1"/>
  <c r="H19" i="20"/>
  <c r="P10" i="1"/>
  <c r="L21" i="1"/>
  <c r="D17" i="20"/>
  <c r="M23" i="1"/>
  <c r="E13" i="20"/>
  <c r="M8" i="1"/>
  <c r="N24" i="1"/>
  <c r="F20" i="20"/>
  <c r="G22" i="18"/>
  <c r="H22" i="18"/>
  <c r="M21" i="1"/>
  <c r="E17" i="20"/>
  <c r="N17" i="1"/>
  <c r="F9" i="20"/>
  <c r="G9" i="18"/>
  <c r="H9" i="18"/>
  <c r="N10" i="1"/>
  <c r="G13" i="18"/>
  <c r="O15" i="1"/>
  <c r="G15" i="20"/>
  <c r="P23" i="1"/>
  <c r="H13" i="20"/>
  <c r="L15" i="1"/>
  <c r="D15" i="20"/>
  <c r="P20" i="1"/>
  <c r="H12" i="20"/>
  <c r="D11" i="1"/>
  <c r="L14" i="1"/>
  <c r="K12" i="1"/>
  <c r="F5" i="1"/>
  <c r="K19" i="1"/>
  <c r="C19" i="20"/>
  <c r="D21" i="18"/>
  <c r="M24" i="1"/>
  <c r="E20" i="20"/>
  <c r="M13" i="1"/>
  <c r="E8" i="20"/>
  <c r="M9" i="1"/>
  <c r="N19" i="1"/>
  <c r="F19" i="20"/>
  <c r="G21" i="18"/>
  <c r="H21" i="18"/>
  <c r="O20" i="1"/>
  <c r="G12" i="20"/>
  <c r="P17" i="1"/>
  <c r="P15" i="1"/>
  <c r="H15" i="20"/>
  <c r="K23" i="1"/>
  <c r="C13" i="20"/>
  <c r="D15" i="18"/>
  <c r="E15" i="18"/>
  <c r="H5" i="1"/>
  <c r="L20" i="1"/>
  <c r="D12" i="20"/>
  <c r="K10" i="1"/>
  <c r="D13" i="18"/>
  <c r="K7" i="1"/>
  <c r="D11" i="18"/>
  <c r="M18" i="1"/>
  <c r="E16" i="20"/>
  <c r="L9" i="1"/>
  <c r="N16" i="1"/>
  <c r="F14" i="20"/>
  <c r="G16" i="18"/>
  <c r="H16" i="18"/>
  <c r="F11" i="20"/>
  <c r="N5" i="1"/>
  <c r="G11" i="18"/>
  <c r="H11" i="18"/>
  <c r="G11" i="1"/>
  <c r="K17" i="1"/>
  <c r="C9" i="20"/>
  <c r="D9" i="18"/>
  <c r="E9" i="18"/>
  <c r="C5" i="20"/>
  <c r="M12" i="1"/>
  <c r="L12" i="1"/>
  <c r="F5" i="20"/>
  <c r="P14" i="1"/>
  <c r="I11" i="1"/>
  <c r="O14" i="1"/>
  <c r="I5" i="1"/>
  <c r="P8" i="1"/>
  <c r="K24" i="1"/>
  <c r="C20" i="20"/>
  <c r="D22" i="18"/>
  <c r="G5" i="1"/>
  <c r="O13" i="1"/>
  <c r="H11" i="1"/>
  <c r="O5" i="1"/>
  <c r="P9" i="1"/>
  <c r="J5" i="1"/>
  <c r="D5" i="1"/>
  <c r="D103" i="1"/>
  <c r="B4" i="12"/>
  <c r="J11" i="1"/>
  <c r="F11" i="1"/>
  <c r="L18" i="1"/>
  <c r="D16" i="20"/>
  <c r="L13" i="1"/>
  <c r="D8" i="20"/>
  <c r="E11" i="1"/>
  <c r="L7" i="1"/>
  <c r="K21" i="1"/>
  <c r="C17" i="20"/>
  <c r="D19" i="18"/>
  <c r="K20" i="1"/>
  <c r="C12" i="20"/>
  <c r="D14" i="18"/>
  <c r="K13" i="1"/>
  <c r="C8" i="20"/>
  <c r="D8" i="18"/>
  <c r="E8" i="18"/>
  <c r="E5" i="1"/>
  <c r="M16" i="1"/>
  <c r="E14" i="20"/>
  <c r="L16" i="1"/>
  <c r="D14" i="20"/>
  <c r="M7" i="1"/>
  <c r="N21" i="1"/>
  <c r="F17" i="20"/>
  <c r="G19" i="18"/>
  <c r="H19" i="18"/>
  <c r="O24" i="1"/>
  <c r="G20" i="20"/>
  <c r="H11" i="20"/>
  <c r="H9" i="20"/>
  <c r="H6" i="20"/>
  <c r="M57" i="1"/>
  <c r="L28" i="1"/>
  <c r="D9" i="20"/>
  <c r="P65" i="1"/>
  <c r="H10" i="20"/>
  <c r="L38" i="1"/>
  <c r="O38" i="1"/>
  <c r="G6" i="20"/>
  <c r="D6" i="20"/>
  <c r="L65" i="1"/>
  <c r="D10" i="20"/>
  <c r="H103" i="1"/>
  <c r="B8" i="12"/>
  <c r="E103" i="1"/>
  <c r="B5" i="12"/>
  <c r="J103" i="1"/>
  <c r="B10" i="12"/>
  <c r="C11" i="20"/>
  <c r="C21" i="20"/>
  <c r="F103" i="1"/>
  <c r="B6" i="12"/>
  <c r="B12" i="12"/>
  <c r="K5" i="1"/>
  <c r="P5" i="1"/>
  <c r="E11" i="18"/>
  <c r="M5" i="1"/>
  <c r="M11" i="1"/>
  <c r="M103" i="1"/>
  <c r="B7" i="16"/>
  <c r="E11" i="20"/>
  <c r="E5" i="20"/>
  <c r="E21" i="20"/>
  <c r="I103" i="1"/>
  <c r="B9" i="12"/>
  <c r="G5" i="18"/>
  <c r="F21" i="20"/>
  <c r="K11" i="1"/>
  <c r="K103" i="1"/>
  <c r="B5" i="16"/>
  <c r="G8" i="20"/>
  <c r="O11" i="1"/>
  <c r="B11" i="12"/>
  <c r="G103" i="1"/>
  <c r="B7" i="12"/>
  <c r="B14" i="12"/>
  <c r="N11" i="1"/>
  <c r="D5" i="18"/>
  <c r="N103" i="1"/>
  <c r="B8" i="16"/>
  <c r="D11" i="20"/>
  <c r="L5" i="1"/>
  <c r="H21" i="20"/>
  <c r="P11" i="1"/>
  <c r="P103" i="1"/>
  <c r="B10" i="16"/>
  <c r="B13" i="16"/>
  <c r="F4" i="16"/>
  <c r="D5" i="20"/>
  <c r="L11" i="1"/>
  <c r="D21" i="20"/>
  <c r="G21" i="20"/>
  <c r="B16" i="12"/>
  <c r="O103" i="1"/>
  <c r="B9" i="16"/>
  <c r="B13" i="12"/>
  <c r="D18" i="12"/>
  <c r="C18" i="12"/>
  <c r="D19" i="12"/>
  <c r="C19" i="12"/>
  <c r="G24" i="18"/>
  <c r="G28" i="18"/>
  <c r="H28" i="18"/>
  <c r="H5" i="18"/>
  <c r="L103" i="1"/>
  <c r="B6" i="16"/>
  <c r="D28" i="18"/>
  <c r="E28" i="18"/>
  <c r="E5" i="18"/>
  <c r="D24" i="18"/>
  <c r="D21" i="12"/>
  <c r="C21" i="12"/>
  <c r="C23" i="12"/>
  <c r="D23" i="12"/>
  <c r="B15" i="12"/>
  <c r="H24" i="18"/>
  <c r="G25" i="18"/>
  <c r="D22" i="12"/>
  <c r="C22" i="12"/>
  <c r="D20" i="12"/>
  <c r="C20" i="12"/>
  <c r="D25" i="18"/>
  <c r="E24"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00000000-0006-0000-0200-000001000000}">
      <text>
        <r>
          <rPr>
            <b/>
            <sz val="9"/>
            <color indexed="81"/>
            <rFont val="Tahoma"/>
            <family val="2"/>
          </rPr>
          <t>Author:</t>
        </r>
        <r>
          <rPr>
            <sz val="9"/>
            <color indexed="81"/>
            <rFont val="Tahoma"/>
            <family val="2"/>
          </rPr>
          <t xml:space="preserve">
This includes utility level electricity generation as well; CEEW analysis considers captive embedded within the numbers</t>
        </r>
      </text>
    </comment>
    <comment ref="I8" authorId="0" shapeId="0" xr:uid="{00000000-0006-0000-0200-000002000000}">
      <text>
        <r>
          <rPr>
            <b/>
            <sz val="9"/>
            <color indexed="81"/>
            <rFont val="Tahoma"/>
            <family val="2"/>
          </rPr>
          <t>Author:</t>
        </r>
        <r>
          <rPr>
            <sz val="9"/>
            <color indexed="81"/>
            <rFont val="Tahoma"/>
            <family val="2"/>
          </rPr>
          <t xml:space="preserve">
not reported
</t>
        </r>
      </text>
    </comment>
    <comment ref="I9" authorId="0" shapeId="0" xr:uid="{00000000-0006-0000-0200-000003000000}">
      <text>
        <r>
          <rPr>
            <b/>
            <sz val="9"/>
            <color indexed="81"/>
            <rFont val="Tahoma"/>
            <family val="2"/>
          </rPr>
          <t>Author:</t>
        </r>
        <r>
          <rPr>
            <sz val="9"/>
            <color indexed="81"/>
            <rFont val="Tahoma"/>
            <family val="2"/>
          </rPr>
          <t xml:space="preserve">
not reported
</t>
        </r>
      </text>
    </comment>
    <comment ref="I10" authorId="0" shapeId="0" xr:uid="{00000000-0006-0000-0200-000004000000}">
      <text>
        <r>
          <rPr>
            <b/>
            <sz val="9"/>
            <color indexed="81"/>
            <rFont val="Tahoma"/>
            <family val="2"/>
          </rPr>
          <t>Author:</t>
        </r>
        <r>
          <rPr>
            <sz val="9"/>
            <color indexed="81"/>
            <rFont val="Tahoma"/>
            <family val="2"/>
          </rPr>
          <t xml:space="preserve">
not reported
</t>
        </r>
      </text>
    </comment>
    <comment ref="I17" authorId="0" shapeId="0" xr:uid="{00000000-0006-0000-0200-000005000000}">
      <text>
        <r>
          <rPr>
            <b/>
            <sz val="9"/>
            <color indexed="81"/>
            <rFont val="Tahoma"/>
            <family val="2"/>
          </rPr>
          <t>Author:</t>
        </r>
        <r>
          <rPr>
            <sz val="9"/>
            <color indexed="81"/>
            <rFont val="Tahoma"/>
            <family val="2"/>
          </rPr>
          <t xml:space="preserve">
incl cement</t>
        </r>
      </text>
    </comment>
    <comment ref="J20" authorId="0" shapeId="0" xr:uid="{00000000-0006-0000-0200-000006000000}">
      <text>
        <r>
          <rPr>
            <b/>
            <sz val="9"/>
            <color indexed="81"/>
            <rFont val="Tahoma"/>
            <family val="2"/>
          </rPr>
          <t>Author:</t>
        </r>
        <r>
          <rPr>
            <sz val="9"/>
            <color indexed="81"/>
            <rFont val="Tahoma"/>
            <family val="2"/>
          </rPr>
          <t xml:space="preserve">
energy and IPPU</t>
        </r>
      </text>
    </comment>
    <comment ref="J23" authorId="0" shapeId="0" xr:uid="{00000000-0006-0000-0200-000007000000}">
      <text>
        <r>
          <rPr>
            <b/>
            <sz val="9"/>
            <color indexed="81"/>
            <rFont val="Tahoma"/>
            <family val="2"/>
          </rPr>
          <t>Author:</t>
        </r>
        <r>
          <rPr>
            <sz val="9"/>
            <color indexed="81"/>
            <rFont val="Tahoma"/>
            <family val="2"/>
          </rPr>
          <t xml:space="preserve">
energy &amp; IPPU</t>
        </r>
      </text>
    </comment>
    <comment ref="I58" authorId="0" shapeId="0" xr:uid="{00000000-0006-0000-0200-000008000000}">
      <text>
        <r>
          <rPr>
            <b/>
            <sz val="9"/>
            <color indexed="81"/>
            <rFont val="Tahoma"/>
            <family val="2"/>
          </rPr>
          <t>Author:</t>
        </r>
        <r>
          <rPr>
            <sz val="9"/>
            <color indexed="81"/>
            <rFont val="Tahoma"/>
            <family val="2"/>
          </rPr>
          <t xml:space="preserve">
IPPU is reported in energy emissions</t>
        </r>
      </text>
    </comment>
    <comment ref="J64" authorId="0" shapeId="0" xr:uid="{00000000-0006-0000-0200-000009000000}">
      <text>
        <r>
          <rPr>
            <b/>
            <sz val="9"/>
            <color indexed="81"/>
            <rFont val="Tahoma"/>
            <family val="2"/>
          </rPr>
          <t>Author:</t>
        </r>
        <r>
          <rPr>
            <sz val="9"/>
            <color indexed="81"/>
            <rFont val="Tahoma"/>
            <family val="2"/>
          </rPr>
          <t xml:space="preserve">
copper emissions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6" authorId="0" shapeId="0" xr:uid="{00000000-0006-0000-0700-000001000000}">
      <text>
        <r>
          <rPr>
            <b/>
            <sz val="10"/>
            <color indexed="81"/>
            <rFont val="Calibri"/>
            <family val="2"/>
          </rPr>
          <t>Author:</t>
        </r>
        <r>
          <rPr>
            <sz val="10"/>
            <color indexed="81"/>
            <rFont val="Calibri"/>
            <family val="2"/>
          </rPr>
          <t xml:space="preserve">
Manually Entered using national production numbers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5" authorId="0" shapeId="0" xr:uid="{00000000-0006-0000-0800-000001000000}">
      <text>
        <r>
          <rPr>
            <b/>
            <sz val="10"/>
            <color indexed="81"/>
            <rFont val="Calibri"/>
            <family val="2"/>
          </rPr>
          <t>Author:</t>
        </r>
        <r>
          <rPr>
            <sz val="10"/>
            <color indexed="81"/>
            <rFont val="Calibri"/>
            <family val="2"/>
          </rPr>
          <t xml:space="preserve">
from national production statistics</t>
        </r>
      </text>
    </comment>
    <comment ref="A12" authorId="0" shapeId="0" xr:uid="{00000000-0006-0000-0800-000002000000}">
      <text>
        <r>
          <rPr>
            <b/>
            <sz val="10"/>
            <color indexed="81"/>
            <rFont val="Calibri"/>
            <family val="2"/>
          </rPr>
          <t>Author:</t>
        </r>
        <r>
          <rPr>
            <sz val="10"/>
            <color indexed="81"/>
            <rFont val="Calibri"/>
            <family val="2"/>
          </rPr>
          <t xml:space="preserve">
Subtract emission from urea production from the ASI data and replace with national statistics</t>
        </r>
      </text>
    </comment>
    <comment ref="A26" authorId="0" shapeId="0" xr:uid="{00000000-0006-0000-0800-000003000000}">
      <text>
        <r>
          <rPr>
            <b/>
            <sz val="10"/>
            <color indexed="81"/>
            <rFont val="Calibri"/>
            <family val="2"/>
          </rPr>
          <t>Author:</t>
        </r>
        <r>
          <rPr>
            <sz val="10"/>
            <color indexed="81"/>
            <rFont val="Calibri"/>
            <family val="2"/>
          </rPr>
          <t xml:space="preserve">
Using national production statistics</t>
        </r>
      </text>
    </comment>
    <comment ref="A27" authorId="0" shapeId="0" xr:uid="{00000000-0006-0000-0800-000004000000}">
      <text>
        <r>
          <rPr>
            <b/>
            <sz val="10"/>
            <color indexed="81"/>
            <rFont val="Calibri"/>
            <family val="2"/>
          </rPr>
          <t>Author:</t>
        </r>
        <r>
          <rPr>
            <sz val="10"/>
            <color indexed="81"/>
            <rFont val="Calibri"/>
            <family val="2"/>
          </rPr>
          <t xml:space="preserve">
emissions using national production statistics</t>
        </r>
      </text>
    </comment>
    <comment ref="A28" authorId="0" shapeId="0" xr:uid="{00000000-0006-0000-0800-000005000000}">
      <text>
        <r>
          <rPr>
            <b/>
            <sz val="10"/>
            <color indexed="81"/>
            <rFont val="Calibri"/>
            <family val="2"/>
          </rPr>
          <t>Author:</t>
        </r>
        <r>
          <rPr>
            <sz val="10"/>
            <color indexed="81"/>
            <rFont val="Calibri"/>
            <family val="2"/>
          </rPr>
          <t xml:space="preserve">
Emissions using national production statistics</t>
        </r>
      </text>
    </comment>
  </commentList>
</comments>
</file>

<file path=xl/sharedStrings.xml><?xml version="1.0" encoding="utf-8"?>
<sst xmlns="http://schemas.openxmlformats.org/spreadsheetml/2006/main" count="682" uniqueCount="348">
  <si>
    <t>1A2: Manufacturing Industries and Construction^^</t>
  </si>
  <si>
    <t>2A Mineral Industry</t>
  </si>
  <si>
    <t>Sector/Subsector - as per IPCC, 2006 classification</t>
  </si>
  <si>
    <t>Energy Emissions (refining, solid fuels, mfg. ind)</t>
  </si>
  <si>
    <t>Industry Process and Product Use (IPPU)</t>
  </si>
  <si>
    <t>1A1b</t>
  </si>
  <si>
    <t>1A1c</t>
  </si>
  <si>
    <t>1A1ci</t>
  </si>
  <si>
    <t>1A1cii</t>
  </si>
  <si>
    <t>1A2a</t>
  </si>
  <si>
    <t>1A2b</t>
  </si>
  <si>
    <t>1A2c</t>
  </si>
  <si>
    <t>1A2</t>
  </si>
  <si>
    <t>1A2d</t>
  </si>
  <si>
    <t>1A2e</t>
  </si>
  <si>
    <t>1A2f</t>
  </si>
  <si>
    <t>1A2g</t>
  </si>
  <si>
    <t>1A2h</t>
  </si>
  <si>
    <t>1A2i</t>
  </si>
  <si>
    <t>1A2j</t>
  </si>
  <si>
    <t>1A2k</t>
  </si>
  <si>
    <t>1A2l</t>
  </si>
  <si>
    <t>1A2m</t>
  </si>
  <si>
    <t>Petroleum refining</t>
  </si>
  <si>
    <t>Manufacture of Solid Fuels and other Energy Industries</t>
  </si>
  <si>
    <t>Manufacture of Solid Fuel</t>
  </si>
  <si>
    <t>Other Energy Industries^</t>
  </si>
  <si>
    <t>Iron and Steel</t>
  </si>
  <si>
    <t>Non-Ferrous Metals</t>
  </si>
  <si>
    <t>chemicals</t>
  </si>
  <si>
    <t>Pulp, Paper and Print</t>
  </si>
  <si>
    <t>Food Processing, Beverages and Tobacco</t>
  </si>
  <si>
    <t>non-metallic minerals</t>
  </si>
  <si>
    <t>Non-specified Industry</t>
  </si>
  <si>
    <t>Textile and Leather</t>
  </si>
  <si>
    <t>Construction</t>
  </si>
  <si>
    <t>Wood and Wood Products</t>
  </si>
  <si>
    <t>Mining (excluding fuels) and Quarrying</t>
  </si>
  <si>
    <t>Transport Equipment</t>
  </si>
  <si>
    <t>Machinery</t>
  </si>
  <si>
    <t>2A1</t>
  </si>
  <si>
    <t>2A2</t>
  </si>
  <si>
    <t>2A3</t>
  </si>
  <si>
    <t>2A4a</t>
  </si>
  <si>
    <t>2A4b</t>
  </si>
  <si>
    <t>2A4c</t>
  </si>
  <si>
    <t>2A4d</t>
  </si>
  <si>
    <t>2B8a</t>
  </si>
  <si>
    <t>2B8b</t>
  </si>
  <si>
    <t>2B8c</t>
  </si>
  <si>
    <t>2B8d</t>
  </si>
  <si>
    <t>2B8e</t>
  </si>
  <si>
    <t>2B8f</t>
  </si>
  <si>
    <t>2B9a</t>
  </si>
  <si>
    <t>2B9b</t>
  </si>
  <si>
    <t>2B10</t>
  </si>
  <si>
    <t>2E1:</t>
  </si>
  <si>
    <t>2E2:</t>
  </si>
  <si>
    <t>2E3:</t>
  </si>
  <si>
    <t>2E4:</t>
  </si>
  <si>
    <t>2E5:</t>
  </si>
  <si>
    <t>2F1a</t>
  </si>
  <si>
    <t>2F1b</t>
  </si>
  <si>
    <t>2G1a</t>
  </si>
  <si>
    <t>2G1b</t>
  </si>
  <si>
    <t>2G1c</t>
  </si>
  <si>
    <t>2G2a</t>
  </si>
  <si>
    <t>2G2b</t>
  </si>
  <si>
    <t>2G2c</t>
  </si>
  <si>
    <t>2G3a</t>
  </si>
  <si>
    <t>2G3b</t>
  </si>
  <si>
    <t>2G3c</t>
  </si>
  <si>
    <t xml:space="preserve">2H1 </t>
  </si>
  <si>
    <t xml:space="preserve">2H2 </t>
  </si>
  <si>
    <t xml:space="preserve">2H3 </t>
  </si>
  <si>
    <t>2A4</t>
  </si>
  <si>
    <t>2A5</t>
  </si>
  <si>
    <t>2B1</t>
  </si>
  <si>
    <t>2B2</t>
  </si>
  <si>
    <t>2B3</t>
  </si>
  <si>
    <t>2B4</t>
  </si>
  <si>
    <t>2B5</t>
  </si>
  <si>
    <t>2B6</t>
  </si>
  <si>
    <t>2B7</t>
  </si>
  <si>
    <t>2B8</t>
  </si>
  <si>
    <t>2B9</t>
  </si>
  <si>
    <t>2C1</t>
  </si>
  <si>
    <t>2C2</t>
  </si>
  <si>
    <t>2C3</t>
  </si>
  <si>
    <t>2C4</t>
  </si>
  <si>
    <t>2C5</t>
  </si>
  <si>
    <t>2C6</t>
  </si>
  <si>
    <t>2C7</t>
  </si>
  <si>
    <t>2D1</t>
  </si>
  <si>
    <t>2D2</t>
  </si>
  <si>
    <t>2D3</t>
  </si>
  <si>
    <t>2D4</t>
  </si>
  <si>
    <t>2F1</t>
  </si>
  <si>
    <t>2F2</t>
  </si>
  <si>
    <t>2F3</t>
  </si>
  <si>
    <t>2F4</t>
  </si>
  <si>
    <t>2F5</t>
  </si>
  <si>
    <t>2F6</t>
  </si>
  <si>
    <t>2G1</t>
  </si>
  <si>
    <t>2G2</t>
  </si>
  <si>
    <t>2G3</t>
  </si>
  <si>
    <t>2G4</t>
  </si>
  <si>
    <t>2B</t>
  </si>
  <si>
    <t>2A</t>
  </si>
  <si>
    <t>2C</t>
  </si>
  <si>
    <t>2D</t>
  </si>
  <si>
    <t>2E</t>
  </si>
  <si>
    <t>2F</t>
  </si>
  <si>
    <t>2G</t>
  </si>
  <si>
    <t>2H</t>
  </si>
  <si>
    <t>Cement Production</t>
  </si>
  <si>
    <t>Lime Production</t>
  </si>
  <si>
    <t>Glass Production</t>
  </si>
  <si>
    <t>Other Process Uses of Carbotes</t>
  </si>
  <si>
    <t>Other</t>
  </si>
  <si>
    <t>Ceramics</t>
  </si>
  <si>
    <t>Other Uses of Soda Ash</t>
  </si>
  <si>
    <t>Non Metallurgical Magnesia Production</t>
  </si>
  <si>
    <t>Chemical Industry</t>
  </si>
  <si>
    <t>Ammonia Production</t>
  </si>
  <si>
    <t>Nitric Acid Production</t>
  </si>
  <si>
    <t>Adipic Acid Production</t>
  </si>
  <si>
    <t>Caprolactam, Glyoxal and Glyoxylic Acid Production</t>
  </si>
  <si>
    <t>Carbide Production</t>
  </si>
  <si>
    <t>Titanium Dioxide Production</t>
  </si>
  <si>
    <t>Soda Ash Production</t>
  </si>
  <si>
    <t>Petrochemical and Carbon Black Production</t>
  </si>
  <si>
    <t>Methanol</t>
  </si>
  <si>
    <t>Ethylene</t>
  </si>
  <si>
    <t>Ethylene Dichloride and Vinyl Chloride Monomer</t>
  </si>
  <si>
    <t>Ethylene Oxide</t>
  </si>
  <si>
    <t>Acrylonitrile</t>
  </si>
  <si>
    <t>Carbon Black</t>
  </si>
  <si>
    <t>Fluorochemical Production</t>
  </si>
  <si>
    <t xml:space="preserve">By-product Emissions </t>
  </si>
  <si>
    <t>Fugitive Emissions</t>
  </si>
  <si>
    <t>Metal Industry</t>
  </si>
  <si>
    <t>Iron and Steel Production</t>
  </si>
  <si>
    <t>Ferroalloys Production</t>
  </si>
  <si>
    <t>Aluminium Production</t>
  </si>
  <si>
    <t xml:space="preserve">Magnesium Production </t>
  </si>
  <si>
    <t>Lead Production</t>
  </si>
  <si>
    <t>Zinc Production</t>
  </si>
  <si>
    <t>Non-Energy Products from Fuels and Solvent Use</t>
  </si>
  <si>
    <t>Lubricant Use</t>
  </si>
  <si>
    <t>Paraffin Wax Use</t>
  </si>
  <si>
    <t xml:space="preserve">Solvent Use </t>
  </si>
  <si>
    <t xml:space="preserve">Other </t>
  </si>
  <si>
    <t>Electronics Industry</t>
  </si>
  <si>
    <t>Integrated Circuit or Semiconductor</t>
  </si>
  <si>
    <t>TFT Flat Panel Display</t>
  </si>
  <si>
    <t>Photovoltaics</t>
  </si>
  <si>
    <t>Heat Transfer Fluid</t>
  </si>
  <si>
    <t>Product Uses as Substitutes for Ozone Depleting Substances</t>
  </si>
  <si>
    <t>Refrigeration and Air Conditioning</t>
  </si>
  <si>
    <t>Refrigeration and Statiory Air Conditioning</t>
  </si>
  <si>
    <t xml:space="preserve"> Mobile Air Conditioning</t>
  </si>
  <si>
    <t>Foam Blowing Agents</t>
  </si>
  <si>
    <t>Fire Protection</t>
  </si>
  <si>
    <t>Aerosols</t>
  </si>
  <si>
    <t>Solvents</t>
  </si>
  <si>
    <t>Other Applications</t>
  </si>
  <si>
    <t>Other Product Manufacture and Use</t>
  </si>
  <si>
    <t>Electrical Equipment</t>
  </si>
  <si>
    <t>Manufacture of Electrical Equipment</t>
  </si>
  <si>
    <t>Use of Electrical Equipment</t>
  </si>
  <si>
    <t>Disposal of Electrical Equipment</t>
  </si>
  <si>
    <t>SF6 and PFCs from Other Product Uses</t>
  </si>
  <si>
    <t>Military Applications</t>
  </si>
  <si>
    <t>Accelerators</t>
  </si>
  <si>
    <t>N2O from Product Uses</t>
  </si>
  <si>
    <t>Medical Applications</t>
  </si>
  <si>
    <t>Propellant for pressure and aerosol products</t>
  </si>
  <si>
    <t xml:space="preserve">Pulp and Paper Industry </t>
  </si>
  <si>
    <t>Food and Beverages Industry</t>
  </si>
  <si>
    <t>CEEW - 2012-13 (Gg)</t>
  </si>
  <si>
    <t>1A1a</t>
  </si>
  <si>
    <t>Main Activity Electricity and Heat production (utility + captive)</t>
  </si>
  <si>
    <t>Fuel Combustion Activities &gt; Energy industries</t>
  </si>
  <si>
    <t>1A1</t>
  </si>
  <si>
    <t>1A3</t>
  </si>
  <si>
    <t>1A4</t>
  </si>
  <si>
    <t>1A5</t>
  </si>
  <si>
    <t>Transport</t>
  </si>
  <si>
    <t>other sectors</t>
  </si>
  <si>
    <t>Non-specified</t>
  </si>
  <si>
    <t>IPCC codes</t>
  </si>
  <si>
    <t>TOTAL IPPU + Energy (for Mfg); excluding electricity</t>
  </si>
  <si>
    <t>Grand Total</t>
  </si>
  <si>
    <t>CO2e ('000T)</t>
  </si>
  <si>
    <t>2012-13</t>
  </si>
  <si>
    <t>2007-08</t>
  </si>
  <si>
    <t>2006-07</t>
  </si>
  <si>
    <t xml:space="preserve"> CEEW- 2007-08 (Gg)</t>
  </si>
  <si>
    <t>CEEW- 2006-07 (Gg)</t>
  </si>
  <si>
    <t>Year</t>
  </si>
  <si>
    <t>Total</t>
  </si>
  <si>
    <t>IPCC Codes</t>
  </si>
  <si>
    <t>CEEW-2009-10 (Gg)</t>
  </si>
  <si>
    <t>CEEW - 2010-11 (Gg)</t>
  </si>
  <si>
    <t>2009-10</t>
  </si>
  <si>
    <t>2010-11</t>
  </si>
  <si>
    <t>2008-09</t>
  </si>
  <si>
    <t>2011-12</t>
  </si>
  <si>
    <t>% Variation</t>
  </si>
  <si>
    <t>CEEW-calendar year 2007</t>
  </si>
  <si>
    <t>CEEW-calendar year 2010</t>
  </si>
  <si>
    <t xml:space="preserve">IBM Data 2010 </t>
  </si>
  <si>
    <t>NE</t>
  </si>
  <si>
    <t>CEEW - 2011-12 (Gg)</t>
  </si>
  <si>
    <t>CEEW-2008-09 (Gg)</t>
  </si>
  <si>
    <t>Financial Years</t>
  </si>
  <si>
    <t>CEEW- 2007</t>
  </si>
  <si>
    <t>CEEW- 2008</t>
  </si>
  <si>
    <t>CEEW - 2009</t>
  </si>
  <si>
    <t>CEEW - 2010</t>
  </si>
  <si>
    <t>CEEW - 2011</t>
  </si>
  <si>
    <t>CEEW - 2012</t>
  </si>
  <si>
    <t>CAGR</t>
  </si>
  <si>
    <t>Calendar Years</t>
  </si>
  <si>
    <t>Consolidated Comparison</t>
  </si>
  <si>
    <t>Sl no</t>
  </si>
  <si>
    <t>Sector Descriptions</t>
  </si>
  <si>
    <t>Iron &amp; Steel</t>
  </si>
  <si>
    <t>Chemicals</t>
  </si>
  <si>
    <t>Ferro Alloys</t>
  </si>
  <si>
    <t>Non-metallic minerals</t>
  </si>
  <si>
    <t>Non-Energy products from fuels</t>
  </si>
  <si>
    <t>Refining + manufacture of solid fuels, Other energy Industries</t>
  </si>
  <si>
    <t>Mining</t>
  </si>
  <si>
    <t>Food &amp; Beverages</t>
  </si>
  <si>
    <t>Pulp, paper and Print</t>
  </si>
  <si>
    <t>Wood &amp; wood products</t>
  </si>
  <si>
    <t>Manufacturing n.e.c (jewellery, sports and musical instruments)</t>
  </si>
  <si>
    <t>Total Emissions</t>
  </si>
  <si>
    <t>CEEW - calendar year 2008</t>
  </si>
  <si>
    <t>CEEW - calendar year 2009</t>
  </si>
  <si>
    <t>CEEW - calendar year 2011</t>
  </si>
  <si>
    <t>CEEW-calendar year 2012</t>
  </si>
  <si>
    <t>Data Sources Used for Emission Estimation</t>
  </si>
  <si>
    <t>ASI Data</t>
  </si>
  <si>
    <t>Specfic fuel consumption CIL annual reports</t>
  </si>
  <si>
    <t>Cement Manufacturing Asssociation</t>
  </si>
  <si>
    <t>IBM Data 2009</t>
  </si>
  <si>
    <t>IBM Data 2011</t>
  </si>
  <si>
    <t>IBM Data 2012</t>
  </si>
  <si>
    <t>Chemicals and Petrochemicals statistics 2014 (Ministry of chemicals and fertilizers)</t>
  </si>
  <si>
    <t>Aluminium MCX India</t>
  </si>
  <si>
    <t>IBM mineral yearbook 2012</t>
  </si>
  <si>
    <t>IBM mineral yearbook 2013</t>
  </si>
  <si>
    <t>IBM Data</t>
  </si>
  <si>
    <t>All Emissions are in tonnes</t>
  </si>
  <si>
    <t>Beyond current scope</t>
  </si>
  <si>
    <t>% difference</t>
  </si>
  <si>
    <t>CO2e</t>
  </si>
  <si>
    <t>Mining^, #</t>
  </si>
  <si>
    <t>#</t>
  </si>
  <si>
    <t>Construction #</t>
  </si>
  <si>
    <t>Non specific industries</t>
  </si>
  <si>
    <t>Grand Total (Energy + IPPU)</t>
  </si>
  <si>
    <t>difference level</t>
  </si>
  <si>
    <t>Combined reporting by Iron &amp; Steel, Ferroalloys, &amp; solid fuels</t>
  </si>
  <si>
    <t>The ASI dataset is not available in its entirety</t>
  </si>
  <si>
    <t>^</t>
  </si>
  <si>
    <t>ASI dataset represents non-fuel mining at large.</t>
  </si>
  <si>
    <t>*</t>
  </si>
  <si>
    <t>1. Rubber</t>
  </si>
  <si>
    <t>2. Plastic</t>
  </si>
  <si>
    <t>3. Medical instruments and appliances</t>
  </si>
  <si>
    <t>4. Optical instruments and appliances</t>
  </si>
  <si>
    <t>5. Watches and clocks manufacturing</t>
  </si>
  <si>
    <t>6. Furniture</t>
  </si>
  <si>
    <t>7. Sports goods , musical instruments etc.</t>
  </si>
  <si>
    <t xml:space="preserve">Manufacturing n.e.c* </t>
  </si>
  <si>
    <t>Manufacturing n.e.c includes Industries:</t>
  </si>
  <si>
    <t>Tab</t>
  </si>
  <si>
    <t>GHG Emissions as per IPCC format (financial year as well as calender year format)</t>
  </si>
  <si>
    <t>Trendline for CEEW estimates on GHG emissions</t>
  </si>
  <si>
    <t>GHG emissions (energy use) at IPCC classification system</t>
  </si>
  <si>
    <t>GHG emissions (IPPU) at IPCC classification system</t>
  </si>
  <si>
    <t>Sensitivity analysis for adjustment of rates</t>
  </si>
  <si>
    <t>Activity data sources</t>
  </si>
  <si>
    <t>Manufacturing of solid fuels</t>
  </si>
  <si>
    <t>Other Energy industries</t>
  </si>
  <si>
    <t xml:space="preserve">Refining </t>
  </si>
  <si>
    <t>Description</t>
  </si>
  <si>
    <t>Consolidated comparison of emissions of CEEW estimates from 2007 to 2012</t>
  </si>
  <si>
    <t>Sub-sector level variation between CEEW and national estimates (INCCA and BUR)</t>
  </si>
  <si>
    <t>Year-on-year emissions chart for consolidated sectors from 2007 to 2012</t>
  </si>
  <si>
    <t>Emissions with maximum reported rates</t>
  </si>
  <si>
    <t>Emissions with minimum reported rates</t>
  </si>
  <si>
    <t>N.R</t>
  </si>
  <si>
    <t>N/A</t>
  </si>
  <si>
    <t>Not reported</t>
  </si>
  <si>
    <t>Not applicable. CEEW does not have any non-specified industry classification (all industries are accounted as per national industries classification system)</t>
  </si>
  <si>
    <t>Beyond our current scope</t>
  </si>
  <si>
    <t>Not reported production data in public domain</t>
  </si>
  <si>
    <t>ASI Data- Ministry of chemicals and fertilizers</t>
  </si>
  <si>
    <t>NATCOM(million tonnes)</t>
  </si>
  <si>
    <t>INCCA (million tonnes)</t>
  </si>
  <si>
    <t>BUR (million tonnes)</t>
  </si>
  <si>
    <t>Baseline Emissions (with adjusted rates)</t>
  </si>
  <si>
    <t>CO2e (million tonnes)</t>
  </si>
  <si>
    <t>INCAA 2007 (million tonnes)</t>
  </si>
  <si>
    <t>CEEW 2007 (million tonnes)</t>
  </si>
  <si>
    <t>BUR 2010 (million tonnes)</t>
  </si>
  <si>
    <t>CEEW 2010 (million tonnes)</t>
  </si>
  <si>
    <t>Table 1: GHG Emissions as per IPCC format (financial year as well as calender year format)</t>
  </si>
  <si>
    <t>Table 2: Consolidated comparison of emissions of CEEW estimates from 2007 to 2012</t>
  </si>
  <si>
    <t>Table 4: Sub-sector level variation between CEEW and national estimates (INCCA and BUR)</t>
  </si>
  <si>
    <t>Table 5: Trendline for CEEW estimates on GHG emissions</t>
  </si>
  <si>
    <t>Table 6: GHG emissions (energy use) at IPCC classification system</t>
  </si>
  <si>
    <t>Table 7: GHG emissions (IPPU) at IPCC classification system</t>
  </si>
  <si>
    <t>Table 8: Sensitivity analysis for adjustment of rates</t>
  </si>
  <si>
    <t>Table 9: Activity data sources</t>
  </si>
  <si>
    <t>GHG Emissions</t>
  </si>
  <si>
    <t>CEEW GHG Emissions (million tonnes)</t>
  </si>
  <si>
    <t>CEEW emissions(million tonnes) extrapolation</t>
  </si>
  <si>
    <t>GHG Emissions (CO2eq,T)</t>
  </si>
  <si>
    <t>Sector</t>
  </si>
  <si>
    <t>Industry</t>
  </si>
  <si>
    <t>Version</t>
  </si>
  <si>
    <t>Time Series</t>
  </si>
  <si>
    <t>2007 to 2012</t>
  </si>
  <si>
    <t>Level of Disaggregation</t>
  </si>
  <si>
    <t>National level data</t>
  </si>
  <si>
    <t>Sub-sector Disaggregation</t>
  </si>
  <si>
    <t>IPPU, Industrial Energy use</t>
  </si>
  <si>
    <t>Sector Description</t>
  </si>
  <si>
    <t xml:space="preserve">Industries contribute approximately one fourth of India’s total GHG emissions. The Industrial sector emissions have been developed using a systematic approach of assessing a wide range of fuel consumption, industrial process, and product use from more than two million industrial units.
The emissions have been estimated across 16 sub-sectors including chemicals and fertilisers, food and beverages, machinery, metals and mining, textile, etc. The data trend, disaggregated at the sub-sector level, can inform policymakers and industries to improve energy efficiency and emission intensity. Emissions related to captive power generation within the industry have not been accounted, as those get reported under the electricity and energy sector.
</t>
  </si>
  <si>
    <t>About GHG Platform</t>
  </si>
  <si>
    <t xml:space="preserve">The GHG Platform India is a collective Indian civil-society initiative providing an independent sector and economy wide estimation and analysis of India’s greenhouse gas (GHG) emissions from 2007 to 2012.  The platform comprises of eminent organisations namely, Council on Energy, Environment and Water, Center for Study of Science, Technology and Policy (CSTEP), ICLEI South Asia, Shakti Sustainable Energy Foundation, Vasudha Foundation and WRI-India.  </t>
  </si>
  <si>
    <t>Lead Institution</t>
  </si>
  <si>
    <t>Council on Energy, Environment and Water (CEEW)</t>
  </si>
  <si>
    <t>Contact Details</t>
  </si>
  <si>
    <t>info@ghgplatform-india.org, vaibhav.gupta@ceew.in</t>
  </si>
  <si>
    <t>Usage Policy</t>
  </si>
  <si>
    <t>Any re-production or re-distribution of the material(s) and information displayed and published on this Website/GHG Platform India/Portal shall be accompanied by a due acknowledgment and credit to the GHG Platform India for such material(s) and information.
You must give appropriate credit, provide a link, and indicate if changes were made. You may do so in any reasonable manner, but not in any way that suggests the GHG Plaform India endorses you or your use. Data sheets may be revised or updated from time to time. The latest version of each data sheet will be posted on the website. To keep abreast of these changes, please email us at info@ghgplatform-india.org so that we may inform you when data sheets have been updated.</t>
  </si>
  <si>
    <t>Citation</t>
  </si>
  <si>
    <t>Disclaimer</t>
  </si>
  <si>
    <t>The data used for arriving at the results of this study is from published, secondary sources, or wholly or in part from official sources that have been duly acknowledged. The veracity of the data has been corroborated to the maximum extent possible.  However, the GHG Platform India shall not be held liable and responsible to establish the veracity of or corroborate such content or data and shall not be responsible or liable for any consequences that arise from and / or any harm or loss caused by way of placing reliance on the material(s) and information displayed and published on the website or by further use and analysis of the results of this study.</t>
  </si>
  <si>
    <t>2.0 Posted on November 15,2016</t>
  </si>
  <si>
    <t xml:space="preserve">Ganesan, K., Gupta, V., &amp; Biswas, T. (2016). Industrial Emissions. Version 2.0 dated November 15, 2016, from GHG platform India: GHG platform India-2007-2012 National Estimates - 2016 Series http://ghgplatform-india.org/data-and-emissions/industry.html
In instances where this sheet is used along with any other sector sheet on this website, the suggested citation is “GHG platform India 2007-2012 National Estimates - 2016 Series”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</si>
</sst>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0_ ;[Red]\-0.00\ "/>
    <numFmt numFmtId="166" formatCode="_ * #,##0_ ;_ * \-#,##0_ ;_ * &quot;-&quot;??_ ;_ @_ "/>
    <numFmt numFmtId="167" formatCode="0.0%"/>
    <numFmt numFmtId="168" formatCode="0.0"/>
  </numFmts>
  <fonts count="28"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b/>
      <sz val="9"/>
      <color indexed="81"/>
      <name val="Tahoma"/>
      <family val="2"/>
    </font>
    <font>
      <sz val="9"/>
      <color indexed="81"/>
      <name val="Tahoma"/>
      <family val="2"/>
    </font>
    <font>
      <sz val="10"/>
      <name val="Arial"/>
      <family val="2"/>
    </font>
    <font>
      <sz val="10"/>
      <color indexed="81"/>
      <name val="Calibri"/>
      <family val="2"/>
    </font>
    <font>
      <b/>
      <sz val="10"/>
      <color indexed="81"/>
      <name val="Calibri"/>
      <family val="2"/>
    </font>
    <font>
      <sz val="11"/>
      <name val="Calibri"/>
      <family val="2"/>
      <scheme val="minor"/>
    </font>
    <font>
      <b/>
      <sz val="12"/>
      <color theme="1"/>
      <name val="Calibri"/>
      <family val="2"/>
      <scheme val="minor"/>
    </font>
    <font>
      <b/>
      <sz val="11"/>
      <name val="Calibri"/>
      <family val="2"/>
      <scheme val="minor"/>
    </font>
    <font>
      <u/>
      <sz val="11"/>
      <color theme="10"/>
      <name val="Calibri"/>
      <family val="2"/>
      <scheme val="minor"/>
    </font>
    <font>
      <sz val="11"/>
      <color theme="1"/>
      <name val="Calibri"/>
      <family val="2"/>
      <scheme val="minor"/>
    </font>
    <font>
      <u/>
      <sz val="11"/>
      <color theme="11"/>
      <name val="Calibri"/>
      <family val="2"/>
      <scheme val="minor"/>
    </font>
    <font>
      <sz val="8"/>
      <name val="Calibri"/>
      <family val="2"/>
      <scheme val="minor"/>
    </font>
    <font>
      <b/>
      <sz val="11"/>
      <color rgb="FF00B050"/>
      <name val="Calibri"/>
      <family val="2"/>
      <scheme val="minor"/>
    </font>
    <font>
      <b/>
      <i/>
      <sz val="11"/>
      <color theme="1"/>
      <name val="Calibri"/>
      <family val="2"/>
      <scheme val="minor"/>
    </font>
    <font>
      <b/>
      <sz val="11"/>
      <color rgb="FF0070C0"/>
      <name val="Calibri"/>
      <family val="2"/>
      <scheme val="minor"/>
    </font>
    <font>
      <b/>
      <i/>
      <sz val="11"/>
      <color rgb="FFFF0000"/>
      <name val="Calibri"/>
      <family val="2"/>
      <scheme val="minor"/>
    </font>
    <font>
      <i/>
      <sz val="11"/>
      <color theme="1"/>
      <name val="Calibri"/>
      <family val="2"/>
      <scheme val="minor"/>
    </font>
    <font>
      <i/>
      <sz val="10"/>
      <color theme="1"/>
      <name val="Calibri"/>
      <family val="2"/>
      <scheme val="minor"/>
    </font>
    <font>
      <b/>
      <i/>
      <sz val="12"/>
      <color rgb="FFFF0000"/>
      <name val="Calibri"/>
      <family val="2"/>
      <scheme val="minor"/>
    </font>
    <font>
      <b/>
      <sz val="15"/>
      <name val="Times New Roman"/>
      <family val="1"/>
    </font>
    <font>
      <sz val="15"/>
      <color theme="1"/>
      <name val="Times New Roman"/>
      <family val="1"/>
    </font>
    <font>
      <b/>
      <sz val="15"/>
      <color theme="1"/>
      <name val="Times New Roman"/>
      <family val="1"/>
    </font>
    <font>
      <sz val="15"/>
      <name val="Times New Roman"/>
      <family val="1"/>
    </font>
    <font>
      <u/>
      <sz val="15"/>
      <color theme="10"/>
      <name val="Times New Roman"/>
      <family val="1"/>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6" tint="0.59999389629810485"/>
        <bgColor indexed="64"/>
      </patternFill>
    </fill>
  </fills>
  <borders count="31">
    <border>
      <left/>
      <right/>
      <top/>
      <bottom/>
      <diagonal/>
    </border>
    <border>
      <left style="thin">
        <color auto="1"/>
      </left>
      <right style="thin">
        <color auto="1"/>
      </right>
      <top style="thin">
        <color auto="1"/>
      </top>
      <bottom style="thin">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bottom style="dotted">
        <color auto="1"/>
      </bottom>
      <diagonal/>
    </border>
    <border>
      <left/>
      <right style="dotted">
        <color auto="1"/>
      </right>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style="dotted">
        <color auto="1"/>
      </left>
      <right style="dotted">
        <color auto="1"/>
      </right>
      <top/>
      <bottom style="dotted">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medium">
        <color theme="1"/>
      </left>
      <right style="thin">
        <color auto="1"/>
      </right>
      <top style="medium">
        <color theme="1"/>
      </top>
      <bottom style="thin">
        <color theme="0"/>
      </bottom>
      <diagonal/>
    </border>
    <border>
      <left/>
      <right style="medium">
        <color theme="1"/>
      </right>
      <top style="medium">
        <color theme="1"/>
      </top>
      <bottom style="thin">
        <color auto="1"/>
      </bottom>
      <diagonal/>
    </border>
    <border>
      <left/>
      <right style="thin">
        <color theme="0"/>
      </right>
      <top style="thin">
        <color theme="0"/>
      </top>
      <bottom style="thin">
        <color theme="0"/>
      </bottom>
      <diagonal/>
    </border>
    <border>
      <left style="medium">
        <color indexed="64"/>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theme="1"/>
      </left>
      <right style="thin">
        <color auto="1"/>
      </right>
      <top/>
      <bottom style="thin">
        <color auto="1"/>
      </bottom>
      <diagonal/>
    </border>
    <border>
      <left/>
      <right style="medium">
        <color theme="1"/>
      </right>
      <top style="thin">
        <color auto="1"/>
      </top>
      <bottom style="thin">
        <color auto="1"/>
      </bottom>
      <diagonal/>
    </border>
    <border>
      <left style="medium">
        <color theme="1"/>
      </left>
      <right style="thin">
        <color auto="1"/>
      </right>
      <top style="thin">
        <color auto="1"/>
      </top>
      <bottom style="thin">
        <color auto="1"/>
      </bottom>
      <diagonal/>
    </border>
    <border>
      <left style="thin">
        <color auto="1"/>
      </left>
      <right style="medium">
        <color theme="1"/>
      </right>
      <top style="thin">
        <color auto="1"/>
      </top>
      <bottom style="thin">
        <color auto="1"/>
      </bottom>
      <diagonal/>
    </border>
    <border>
      <left/>
      <right style="medium">
        <color theme="1"/>
      </right>
      <top/>
      <bottom style="thin">
        <color auto="1"/>
      </bottom>
      <diagonal/>
    </border>
    <border>
      <left style="thin">
        <color auto="1"/>
      </left>
      <right style="medium">
        <color indexed="64"/>
      </right>
      <top style="thin">
        <color auto="1"/>
      </top>
      <bottom style="thin">
        <color auto="1"/>
      </bottom>
      <diagonal/>
    </border>
    <border>
      <left style="medium">
        <color theme="1"/>
      </left>
      <right style="thin">
        <color auto="1"/>
      </right>
      <top/>
      <bottom style="medium">
        <color theme="1"/>
      </bottom>
      <diagonal/>
    </border>
    <border>
      <left style="thin">
        <color auto="1"/>
      </left>
      <right style="medium">
        <color theme="1"/>
      </right>
      <top style="thin">
        <color auto="1"/>
      </top>
      <bottom style="medium">
        <color theme="1"/>
      </bottom>
      <diagonal/>
    </border>
  </borders>
  <cellStyleXfs count="18">
    <xf numFmtId="0" fontId="0" fillId="0" borderId="0"/>
    <xf numFmtId="0" fontId="6" fillId="0" borderId="0"/>
    <xf numFmtId="0" fontId="12" fillId="0" borderId="0" applyNumberFormat="0" applyFill="0" applyBorder="0" applyAlignment="0" applyProtection="0"/>
    <xf numFmtId="9" fontId="13"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164" fontId="13" fillId="0" borderId="0" applyFont="0" applyFill="0" applyBorder="0" applyAlignment="0" applyProtection="0"/>
  </cellStyleXfs>
  <cellXfs count="221">
    <xf numFmtId="0" fontId="0" fillId="0" borderId="0" xfId="0"/>
    <xf numFmtId="0" fontId="0" fillId="0" borderId="0" xfId="0" applyFont="1" applyAlignment="1">
      <alignment wrapText="1"/>
    </xf>
    <xf numFmtId="0" fontId="0" fillId="0" borderId="0" xfId="0" applyFill="1"/>
    <xf numFmtId="0" fontId="2" fillId="0" borderId="0" xfId="0" applyFont="1" applyFill="1"/>
    <xf numFmtId="0" fontId="0" fillId="0" borderId="0" xfId="0"/>
    <xf numFmtId="0" fontId="9" fillId="0" borderId="0" xfId="0" applyFont="1" applyFill="1"/>
    <xf numFmtId="0" fontId="0" fillId="0" borderId="0" xfId="0" applyAlignment="1">
      <alignment vertical="center"/>
    </xf>
    <xf numFmtId="0" fontId="0" fillId="2" borderId="0" xfId="0" applyFill="1"/>
    <xf numFmtId="1" fontId="0" fillId="2" borderId="0" xfId="0" applyNumberFormat="1" applyFill="1"/>
    <xf numFmtId="0" fontId="17" fillId="2" borderId="2" xfId="0" applyFont="1" applyFill="1" applyBorder="1" applyAlignment="1">
      <alignment horizontal="center" vertical="center"/>
    </xf>
    <xf numFmtId="0" fontId="17" fillId="2" borderId="2" xfId="0" applyFont="1" applyFill="1" applyBorder="1" applyAlignment="1">
      <alignment horizontal="center" vertical="center" wrapText="1"/>
    </xf>
    <xf numFmtId="0" fontId="0" fillId="2" borderId="2" xfId="0" applyFill="1" applyBorder="1"/>
    <xf numFmtId="1" fontId="0" fillId="2" borderId="2" xfId="0" applyNumberFormat="1" applyFill="1" applyBorder="1"/>
    <xf numFmtId="1" fontId="0" fillId="2" borderId="2" xfId="0" applyNumberFormat="1" applyFont="1" applyFill="1" applyBorder="1"/>
    <xf numFmtId="0" fontId="2" fillId="2" borderId="2" xfId="0" applyFont="1" applyFill="1" applyBorder="1"/>
    <xf numFmtId="1" fontId="2" fillId="2" borderId="2" xfId="0" applyNumberFormat="1" applyFont="1" applyFill="1" applyBorder="1"/>
    <xf numFmtId="9" fontId="3" fillId="2" borderId="2" xfId="3" applyFont="1" applyFill="1" applyBorder="1"/>
    <xf numFmtId="9" fontId="16" fillId="2" borderId="2" xfId="3" applyFont="1" applyFill="1" applyBorder="1"/>
    <xf numFmtId="0" fontId="2" fillId="2" borderId="0" xfId="0" applyFont="1" applyFill="1"/>
    <xf numFmtId="0" fontId="0" fillId="2" borderId="0" xfId="0" applyFill="1" applyAlignment="1">
      <alignment wrapText="1"/>
    </xf>
    <xf numFmtId="1" fontId="0" fillId="2" borderId="0" xfId="0" applyNumberFormat="1" applyFill="1" applyAlignment="1">
      <alignment wrapText="1"/>
    </xf>
    <xf numFmtId="9" fontId="3" fillId="2" borderId="1" xfId="3" applyFont="1" applyFill="1" applyBorder="1" applyAlignment="1">
      <alignment wrapText="1"/>
    </xf>
    <xf numFmtId="0" fontId="20" fillId="2" borderId="0" xfId="0" applyFont="1" applyFill="1" applyAlignment="1">
      <alignment wrapText="1"/>
    </xf>
    <xf numFmtId="0" fontId="17" fillId="2" borderId="0" xfId="0" applyFont="1" applyFill="1" applyAlignment="1">
      <alignment wrapText="1"/>
    </xf>
    <xf numFmtId="0" fontId="10" fillId="2" borderId="0" xfId="0" applyNumberFormat="1" applyFont="1" applyFill="1" applyBorder="1"/>
    <xf numFmtId="0" fontId="2" fillId="2" borderId="0" xfId="0" applyFont="1" applyFill="1" applyBorder="1" applyAlignment="1">
      <alignment horizontal="left"/>
    </xf>
    <xf numFmtId="0" fontId="0" fillId="2" borderId="0" xfId="0" applyNumberFormat="1" applyFont="1" applyFill="1"/>
    <xf numFmtId="0" fontId="0" fillId="2" borderId="0" xfId="0" applyFont="1" applyFill="1" applyBorder="1" applyAlignment="1">
      <alignment horizontal="left"/>
    </xf>
    <xf numFmtId="1" fontId="0" fillId="2" borderId="0" xfId="0" applyNumberFormat="1" applyFont="1" applyFill="1" applyBorder="1"/>
    <xf numFmtId="0" fontId="17" fillId="2" borderId="2" xfId="0" applyFont="1" applyFill="1" applyBorder="1"/>
    <xf numFmtId="0" fontId="21" fillId="2" borderId="0" xfId="0" applyFont="1" applyFill="1" applyAlignment="1">
      <alignment wrapText="1"/>
    </xf>
    <xf numFmtId="0" fontId="21" fillId="2" borderId="0" xfId="0" applyFont="1" applyFill="1"/>
    <xf numFmtId="0" fontId="0" fillId="2" borderId="2" xfId="0" applyFont="1" applyFill="1" applyBorder="1" applyAlignment="1">
      <alignment horizontal="center" vertical="center"/>
    </xf>
    <xf numFmtId="9" fontId="0" fillId="2" borderId="0" xfId="3" applyFont="1" applyFill="1"/>
    <xf numFmtId="0" fontId="17" fillId="2" borderId="0" xfId="0" applyFont="1" applyFill="1" applyAlignment="1"/>
    <xf numFmtId="9" fontId="1" fillId="2" borderId="0" xfId="3" applyFont="1" applyFill="1"/>
    <xf numFmtId="0" fontId="2" fillId="2" borderId="2" xfId="0" applyFont="1" applyFill="1" applyBorder="1" applyAlignment="1">
      <alignment horizontal="center" vertical="center"/>
    </xf>
    <xf numFmtId="0" fontId="2" fillId="2" borderId="2" xfId="0" applyFont="1" applyFill="1" applyBorder="1" applyAlignment="1">
      <alignment horizontal="center" wrapText="1"/>
    </xf>
    <xf numFmtId="0" fontId="0" fillId="2" borderId="2" xfId="0" applyFont="1" applyFill="1" applyBorder="1" applyAlignment="1">
      <alignment vertical="center"/>
    </xf>
    <xf numFmtId="2" fontId="0" fillId="2" borderId="2" xfId="0" applyNumberFormat="1" applyFill="1" applyBorder="1"/>
    <xf numFmtId="0" fontId="0" fillId="2" borderId="2" xfId="0" applyFill="1" applyBorder="1" applyAlignment="1">
      <alignment horizontal="center"/>
    </xf>
    <xf numFmtId="10" fontId="17" fillId="2" borderId="2" xfId="3" applyNumberFormat="1" applyFont="1" applyFill="1" applyBorder="1"/>
    <xf numFmtId="0" fontId="17" fillId="2" borderId="2" xfId="0" applyFont="1" applyFill="1" applyBorder="1" applyAlignment="1">
      <alignment horizontal="center" wrapText="1"/>
    </xf>
    <xf numFmtId="0" fontId="20" fillId="2" borderId="2" xfId="0" applyFont="1" applyFill="1" applyBorder="1"/>
    <xf numFmtId="0" fontId="20" fillId="2" borderId="2" xfId="0" applyFont="1" applyFill="1" applyBorder="1" applyAlignment="1">
      <alignment wrapText="1"/>
    </xf>
    <xf numFmtId="0" fontId="0" fillId="2" borderId="0" xfId="0" applyFont="1" applyFill="1" applyAlignment="1">
      <alignment wrapText="1"/>
    </xf>
    <xf numFmtId="0" fontId="0" fillId="2" borderId="0" xfId="0" applyFill="1" applyAlignment="1">
      <alignment vertical="center"/>
    </xf>
    <xf numFmtId="0" fontId="9" fillId="2" borderId="0" xfId="0" applyFont="1" applyFill="1"/>
    <xf numFmtId="0" fontId="1" fillId="2" borderId="0" xfId="0" applyFont="1" applyFill="1" applyAlignment="1"/>
    <xf numFmtId="0" fontId="0" fillId="2" borderId="0" xfId="0" applyFill="1" applyAlignment="1"/>
    <xf numFmtId="4" fontId="0" fillId="2" borderId="0" xfId="0" applyNumberFormat="1" applyFill="1"/>
    <xf numFmtId="0" fontId="0" fillId="2" borderId="0" xfId="0" applyFill="1" applyBorder="1"/>
    <xf numFmtId="0" fontId="0" fillId="2" borderId="0" xfId="0" applyFont="1" applyFill="1" applyBorder="1" applyAlignment="1">
      <alignment wrapText="1"/>
    </xf>
    <xf numFmtId="9" fontId="0" fillId="2" borderId="0" xfId="3" applyFont="1" applyFill="1" applyBorder="1"/>
    <xf numFmtId="0" fontId="0" fillId="0" borderId="2" xfId="0" applyFont="1" applyFill="1" applyBorder="1" applyAlignment="1">
      <alignment horizontal="left" vertical="center" wrapText="1"/>
    </xf>
    <xf numFmtId="0" fontId="0" fillId="0" borderId="2" xfId="0" applyFont="1" applyFill="1" applyBorder="1" applyAlignment="1">
      <alignment wrapText="1"/>
    </xf>
    <xf numFmtId="0" fontId="0" fillId="0" borderId="2" xfId="0" applyFont="1" applyFill="1" applyBorder="1" applyAlignment="1">
      <alignment horizontal="right"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wrapText="1"/>
    </xf>
    <xf numFmtId="0" fontId="17" fillId="3" borderId="2" xfId="0" applyFont="1" applyFill="1" applyBorder="1"/>
    <xf numFmtId="0" fontId="22" fillId="2" borderId="0" xfId="0" applyFont="1" applyFill="1"/>
    <xf numFmtId="0" fontId="19" fillId="2" borderId="0" xfId="0" applyFont="1" applyFill="1" applyBorder="1" applyAlignment="1"/>
    <xf numFmtId="0" fontId="19" fillId="2" borderId="0" xfId="0" applyFont="1" applyFill="1"/>
    <xf numFmtId="0" fontId="19" fillId="2" borderId="2" xfId="0" applyFont="1" applyFill="1" applyBorder="1"/>
    <xf numFmtId="0" fontId="19" fillId="2" borderId="0" xfId="0" applyFont="1" applyFill="1" applyBorder="1"/>
    <xf numFmtId="0" fontId="20" fillId="2" borderId="0" xfId="0" applyFont="1" applyFill="1"/>
    <xf numFmtId="0" fontId="17" fillId="2" borderId="2" xfId="0" applyFont="1" applyFill="1" applyBorder="1" applyAlignment="1">
      <alignment vertical="center" wrapText="1"/>
    </xf>
    <xf numFmtId="0" fontId="17" fillId="4" borderId="2" xfId="0" applyFont="1" applyFill="1" applyBorder="1" applyAlignment="1">
      <alignment horizontal="center" vertical="center"/>
    </xf>
    <xf numFmtId="0" fontId="17" fillId="4" borderId="2" xfId="0" applyFont="1" applyFill="1" applyBorder="1" applyAlignment="1">
      <alignment horizontal="center" vertical="center" wrapText="1"/>
    </xf>
    <xf numFmtId="10" fontId="0" fillId="2" borderId="0" xfId="3" applyNumberFormat="1" applyFont="1" applyFill="1"/>
    <xf numFmtId="0" fontId="0" fillId="0" borderId="0" xfId="0" applyFont="1" applyFill="1" applyAlignment="1">
      <alignment wrapText="1"/>
    </xf>
    <xf numFmtId="0" fontId="0" fillId="0" borderId="2" xfId="0" applyFill="1" applyBorder="1" applyAlignment="1">
      <alignment vertical="center"/>
    </xf>
    <xf numFmtId="0" fontId="2"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xf>
    <xf numFmtId="0" fontId="17" fillId="0" borderId="2" xfId="0" applyFont="1" applyFill="1" applyBorder="1"/>
    <xf numFmtId="0" fontId="17" fillId="0" borderId="2" xfId="0" applyFont="1" applyFill="1" applyBorder="1" applyAlignment="1">
      <alignment wrapText="1"/>
    </xf>
    <xf numFmtId="0" fontId="19" fillId="0" borderId="2" xfId="0" applyFont="1" applyFill="1" applyBorder="1"/>
    <xf numFmtId="0" fontId="2" fillId="0" borderId="2" xfId="0" applyFont="1" applyFill="1" applyBorder="1" applyAlignment="1">
      <alignment horizontal="center" vertical="center" wrapText="1"/>
    </xf>
    <xf numFmtId="0" fontId="2" fillId="0" borderId="2" xfId="0" applyFont="1" applyFill="1" applyBorder="1" applyAlignment="1">
      <alignment wrapText="1"/>
    </xf>
    <xf numFmtId="165" fontId="2" fillId="0" borderId="2" xfId="0" applyNumberFormat="1" applyFont="1" applyFill="1" applyBorder="1" applyAlignment="1">
      <alignment horizontal="right"/>
    </xf>
    <xf numFmtId="165" fontId="2" fillId="0" borderId="2" xfId="0" applyNumberFormat="1" applyFont="1" applyFill="1" applyBorder="1"/>
    <xf numFmtId="165" fontId="0" fillId="0" borderId="2" xfId="0" applyNumberFormat="1" applyFont="1" applyFill="1" applyBorder="1" applyAlignment="1">
      <alignment horizontal="right"/>
    </xf>
    <xf numFmtId="165" fontId="0" fillId="0" borderId="2" xfId="0" applyNumberFormat="1" applyFill="1" applyBorder="1"/>
    <xf numFmtId="0" fontId="11" fillId="0" borderId="2" xfId="0" applyFont="1" applyFill="1" applyBorder="1" applyAlignment="1">
      <alignment wrapText="1"/>
    </xf>
    <xf numFmtId="0" fontId="0" fillId="0" borderId="2" xfId="0" applyFill="1" applyBorder="1"/>
    <xf numFmtId="0" fontId="9" fillId="0" borderId="2" xfId="0" applyFont="1" applyFill="1" applyBorder="1"/>
    <xf numFmtId="0" fontId="2" fillId="0" borderId="2" xfId="0" applyFont="1" applyFill="1" applyBorder="1" applyAlignment="1">
      <alignment horizontal="center" vertical="top" wrapText="1"/>
    </xf>
    <xf numFmtId="0" fontId="0" fillId="0" borderId="2" xfId="0" applyFont="1" applyFill="1" applyBorder="1" applyAlignment="1">
      <alignment horizontal="left" vertical="top" wrapText="1"/>
    </xf>
    <xf numFmtId="165" fontId="0" fillId="0" borderId="2" xfId="0" applyNumberFormat="1" applyFill="1" applyBorder="1" applyAlignment="1">
      <alignment horizontal="right"/>
    </xf>
    <xf numFmtId="11" fontId="0" fillId="0" borderId="2" xfId="0" applyNumberFormat="1" applyFont="1" applyFill="1" applyBorder="1" applyAlignment="1">
      <alignment horizontal="left" vertical="top" wrapText="1"/>
    </xf>
    <xf numFmtId="165" fontId="11" fillId="0" borderId="2" xfId="0" applyNumberFormat="1" applyFont="1" applyFill="1" applyBorder="1"/>
    <xf numFmtId="0" fontId="0" fillId="0" borderId="0" xfId="0" applyFill="1" applyBorder="1" applyAlignment="1"/>
    <xf numFmtId="0" fontId="17" fillId="0" borderId="1" xfId="0" applyFont="1" applyFill="1" applyBorder="1" applyAlignment="1">
      <alignment horizontal="center" wrapText="1"/>
    </xf>
    <xf numFmtId="0" fontId="17" fillId="0" borderId="1" xfId="0" applyFont="1" applyFill="1" applyBorder="1" applyAlignment="1"/>
    <xf numFmtId="0" fontId="0" fillId="0" borderId="1" xfId="0" applyFill="1" applyBorder="1" applyAlignment="1"/>
    <xf numFmtId="0" fontId="0" fillId="0" borderId="1" xfId="0" applyFont="1" applyFill="1" applyBorder="1" applyAlignment="1"/>
    <xf numFmtId="1" fontId="0" fillId="0" borderId="1" xfId="0" applyNumberFormat="1" applyFill="1" applyBorder="1"/>
    <xf numFmtId="0" fontId="0" fillId="0" borderId="1" xfId="0" quotePrefix="1" applyFill="1" applyBorder="1" applyAlignment="1"/>
    <xf numFmtId="1" fontId="0" fillId="0" borderId="1" xfId="0" applyNumberFormat="1" applyFont="1" applyFill="1" applyBorder="1"/>
    <xf numFmtId="1" fontId="17" fillId="0" borderId="1" xfId="0" applyNumberFormat="1" applyFont="1" applyFill="1" applyBorder="1"/>
    <xf numFmtId="0" fontId="17" fillId="0" borderId="1" xfId="0" applyFont="1" applyFill="1" applyBorder="1" applyAlignment="1">
      <alignment horizontal="center" vertical="center" wrapText="1"/>
    </xf>
    <xf numFmtId="0" fontId="19" fillId="0" borderId="1" xfId="0" applyFont="1" applyFill="1" applyBorder="1" applyAlignment="1">
      <alignment horizontal="left" wrapText="1"/>
    </xf>
    <xf numFmtId="0" fontId="19" fillId="0" borderId="1" xfId="0" applyFont="1" applyFill="1" applyBorder="1" applyAlignment="1">
      <alignment horizontal="right" wrapText="1"/>
    </xf>
    <xf numFmtId="0" fontId="0" fillId="0" borderId="1" xfId="0" applyFill="1" applyBorder="1" applyAlignment="1">
      <alignment horizontal="left" wrapText="1"/>
    </xf>
    <xf numFmtId="0" fontId="0" fillId="0" borderId="1" xfId="0" applyFill="1" applyBorder="1" applyAlignment="1">
      <alignment horizontal="left" vertical="center" wrapText="1"/>
    </xf>
    <xf numFmtId="1" fontId="0" fillId="0" borderId="1" xfId="0" applyNumberFormat="1" applyFill="1" applyBorder="1" applyAlignment="1">
      <alignment horizontal="right" vertical="center" wrapText="1"/>
    </xf>
    <xf numFmtId="9" fontId="3" fillId="0" borderId="1" xfId="3" applyFont="1" applyFill="1" applyBorder="1" applyAlignment="1">
      <alignment horizontal="right" vertical="center" wrapText="1"/>
    </xf>
    <xf numFmtId="9" fontId="3" fillId="0" borderId="1" xfId="3" applyFont="1" applyFill="1" applyBorder="1" applyAlignment="1">
      <alignment horizontal="right" vertical="center"/>
    </xf>
    <xf numFmtId="9" fontId="18" fillId="0" borderId="1" xfId="3" applyFont="1" applyFill="1" applyBorder="1" applyAlignment="1">
      <alignment horizontal="right" vertical="center" wrapText="1"/>
    </xf>
    <xf numFmtId="9" fontId="0" fillId="0" borderId="1" xfId="3" applyFont="1" applyFill="1" applyBorder="1" applyAlignment="1">
      <alignment horizontal="right" vertical="center"/>
    </xf>
    <xf numFmtId="9" fontId="0" fillId="0" borderId="1" xfId="3" applyFont="1" applyFill="1" applyBorder="1" applyAlignment="1">
      <alignment horizontal="right" vertical="center" wrapText="1"/>
    </xf>
    <xf numFmtId="1" fontId="1" fillId="0" borderId="1" xfId="0" applyNumberFormat="1" applyFont="1" applyFill="1" applyBorder="1" applyAlignment="1">
      <alignment horizontal="right" vertical="center" wrapText="1"/>
    </xf>
    <xf numFmtId="0" fontId="2" fillId="0" borderId="1" xfId="0" applyFont="1" applyFill="1" applyBorder="1" applyAlignment="1">
      <alignment horizontal="left" vertical="center" wrapText="1"/>
    </xf>
    <xf numFmtId="9" fontId="2" fillId="0" borderId="1" xfId="3" applyFont="1" applyFill="1" applyBorder="1" applyAlignment="1">
      <alignment horizontal="right" vertical="center" wrapText="1"/>
    </xf>
    <xf numFmtId="9" fontId="2" fillId="0" borderId="1" xfId="3" applyFont="1" applyFill="1" applyBorder="1" applyAlignment="1">
      <alignment horizontal="right" vertical="center"/>
    </xf>
    <xf numFmtId="1" fontId="9" fillId="0" borderId="1" xfId="0" applyNumberFormat="1" applyFont="1" applyFill="1" applyBorder="1" applyAlignment="1">
      <alignment horizontal="right"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left" wrapText="1"/>
    </xf>
    <xf numFmtId="0" fontId="17" fillId="0" borderId="1" xfId="0" applyFont="1" applyFill="1" applyBorder="1" applyAlignment="1">
      <alignment horizontal="left" wrapText="1"/>
    </xf>
    <xf numFmtId="1" fontId="17" fillId="0" borderId="1" xfId="0" applyNumberFormat="1" applyFont="1" applyFill="1" applyBorder="1" applyAlignment="1">
      <alignment horizontal="right" wrapText="1"/>
    </xf>
    <xf numFmtId="9" fontId="19" fillId="0" borderId="1" xfId="3" applyFont="1" applyFill="1" applyBorder="1" applyAlignment="1">
      <alignment horizontal="right" wrapText="1"/>
    </xf>
    <xf numFmtId="167" fontId="19" fillId="0" borderId="1" xfId="3" applyNumberFormat="1" applyFont="1" applyFill="1" applyBorder="1"/>
    <xf numFmtId="0" fontId="0" fillId="0" borderId="14" xfId="0" applyFill="1" applyBorder="1" applyAlignment="1">
      <alignment horizontal="left" wrapText="1"/>
    </xf>
    <xf numFmtId="0" fontId="3" fillId="0" borderId="14" xfId="0" applyFont="1" applyFill="1" applyBorder="1" applyAlignment="1">
      <alignment horizontal="left" wrapText="1"/>
    </xf>
    <xf numFmtId="1" fontId="0" fillId="0" borderId="14" xfId="0" applyNumberFormat="1" applyFill="1" applyBorder="1" applyAlignment="1">
      <alignment horizontal="right" wrapText="1"/>
    </xf>
    <xf numFmtId="9" fontId="3" fillId="0" borderId="14" xfId="3" applyFont="1" applyFill="1" applyBorder="1" applyAlignment="1">
      <alignment horizontal="right" wrapText="1"/>
    </xf>
    <xf numFmtId="1" fontId="3" fillId="0" borderId="14" xfId="0" applyNumberFormat="1" applyFont="1" applyFill="1" applyBorder="1" applyAlignment="1">
      <alignment horizontal="right" wrapText="1"/>
    </xf>
    <xf numFmtId="10" fontId="3" fillId="0" borderId="14" xfId="3" applyNumberFormat="1" applyFont="1" applyFill="1" applyBorder="1" applyAlignment="1">
      <alignment horizontal="right" wrapText="1"/>
    </xf>
    <xf numFmtId="0" fontId="0" fillId="0" borderId="14" xfId="0" applyFill="1" applyBorder="1"/>
    <xf numFmtId="0" fontId="0" fillId="0" borderId="0" xfId="0" applyFill="1" applyAlignment="1">
      <alignment wrapText="1"/>
    </xf>
    <xf numFmtId="0" fontId="3" fillId="0" borderId="0" xfId="0" applyFont="1" applyFill="1" applyAlignment="1">
      <alignment wrapText="1"/>
    </xf>
    <xf numFmtId="9" fontId="3" fillId="0" borderId="0" xfId="3" applyFont="1" applyFill="1" applyAlignment="1">
      <alignment wrapText="1"/>
    </xf>
    <xf numFmtId="0" fontId="17" fillId="0" borderId="2" xfId="0" applyFont="1" applyFill="1" applyBorder="1" applyAlignment="1">
      <alignment horizontal="center" vertical="center"/>
    </xf>
    <xf numFmtId="0" fontId="0" fillId="0" borderId="2" xfId="0" applyFill="1" applyBorder="1" applyAlignment="1">
      <alignment horizontal="left"/>
    </xf>
    <xf numFmtId="166" fontId="13" fillId="0" borderId="2" xfId="17" applyNumberFormat="1" applyFont="1" applyFill="1" applyBorder="1" applyAlignment="1">
      <alignment horizontal="right"/>
    </xf>
    <xf numFmtId="166" fontId="0" fillId="0" borderId="2" xfId="17" applyNumberFormat="1" applyFont="1" applyFill="1" applyBorder="1" applyAlignment="1">
      <alignment horizontal="right"/>
    </xf>
    <xf numFmtId="0" fontId="3" fillId="0" borderId="2" xfId="0" applyFont="1" applyFill="1" applyBorder="1" applyAlignment="1">
      <alignment horizontal="left"/>
    </xf>
    <xf numFmtId="166" fontId="3" fillId="0" borderId="2" xfId="17" applyNumberFormat="1" applyFont="1" applyFill="1" applyBorder="1" applyAlignment="1">
      <alignment horizontal="right"/>
    </xf>
    <xf numFmtId="0" fontId="2" fillId="0" borderId="2" xfId="0" applyFont="1" applyFill="1" applyBorder="1" applyAlignment="1">
      <alignment horizontal="left"/>
    </xf>
    <xf numFmtId="164" fontId="2" fillId="0" borderId="2" xfId="17" applyFont="1" applyFill="1" applyBorder="1" applyAlignment="1">
      <alignment horizontal="right"/>
    </xf>
    <xf numFmtId="0" fontId="17" fillId="0" borderId="2" xfId="0" applyFont="1" applyFill="1" applyBorder="1" applyAlignment="1">
      <alignment horizontal="left"/>
    </xf>
    <xf numFmtId="0" fontId="3" fillId="0" borderId="2" xfId="0" applyFont="1" applyFill="1" applyBorder="1"/>
    <xf numFmtId="1" fontId="11" fillId="0" borderId="2" xfId="0" applyNumberFormat="1" applyFont="1" applyFill="1" applyBorder="1"/>
    <xf numFmtId="0" fontId="2" fillId="0" borderId="2" xfId="0" applyFont="1" applyFill="1" applyBorder="1"/>
    <xf numFmtId="1" fontId="0" fillId="0" borderId="2" xfId="0" applyNumberFormat="1" applyFont="1" applyFill="1" applyBorder="1"/>
    <xf numFmtId="1" fontId="9" fillId="0" borderId="2" xfId="0" applyNumberFormat="1" applyFont="1" applyFill="1" applyBorder="1"/>
    <xf numFmtId="0" fontId="0" fillId="0" borderId="2" xfId="0" applyFont="1" applyFill="1" applyBorder="1"/>
    <xf numFmtId="1" fontId="0" fillId="0" borderId="2" xfId="0" applyNumberFormat="1" applyFill="1" applyBorder="1"/>
    <xf numFmtId="1" fontId="2" fillId="0" borderId="2" xfId="0" applyNumberFormat="1" applyFont="1" applyFill="1" applyBorder="1"/>
    <xf numFmtId="0" fontId="2" fillId="0" borderId="2" xfId="0" applyFont="1" applyFill="1" applyBorder="1" applyAlignment="1">
      <alignment horizontal="left" vertical="center" wrapText="1"/>
    </xf>
    <xf numFmtId="0" fontId="2" fillId="0" borderId="2" xfId="0" applyFont="1" applyFill="1" applyBorder="1" applyAlignment="1">
      <alignment horizontal="right" vertical="center" wrapText="1"/>
    </xf>
    <xf numFmtId="0" fontId="11" fillId="0" borderId="2" xfId="0" applyFont="1" applyFill="1" applyBorder="1" applyAlignment="1">
      <alignment horizontal="left" vertical="center" wrapText="1"/>
    </xf>
    <xf numFmtId="0" fontId="12" fillId="0" borderId="2" xfId="2" applyFill="1" applyBorder="1" applyAlignment="1">
      <alignment horizontal="center" vertical="center" wrapText="1"/>
    </xf>
    <xf numFmtId="0" fontId="2" fillId="0" borderId="2" xfId="0" applyFont="1" applyFill="1" applyBorder="1" applyAlignment="1">
      <alignment horizontal="left" vertical="top" wrapText="1"/>
    </xf>
    <xf numFmtId="0" fontId="0" fillId="0" borderId="2" xfId="0" applyFont="1" applyFill="1" applyBorder="1" applyAlignment="1">
      <alignment vertical="center" wrapText="1"/>
    </xf>
    <xf numFmtId="11" fontId="2" fillId="0" borderId="2" xfId="0" applyNumberFormat="1" applyFont="1" applyFill="1" applyBorder="1" applyAlignment="1">
      <alignment horizontal="left" vertical="top" wrapText="1"/>
    </xf>
    <xf numFmtId="0" fontId="0" fillId="0" borderId="15" xfId="0" applyBorder="1"/>
    <xf numFmtId="0" fontId="0" fillId="0" borderId="16" xfId="0" applyBorder="1"/>
    <xf numFmtId="0" fontId="0" fillId="0" borderId="17" xfId="0" applyBorder="1"/>
    <xf numFmtId="0" fontId="23" fillId="5" borderId="18" xfId="0" applyFont="1" applyFill="1" applyBorder="1" applyAlignment="1">
      <alignment horizontal="left" vertical="center"/>
    </xf>
    <xf numFmtId="0" fontId="24" fillId="0" borderId="19" xfId="0" applyFont="1" applyBorder="1" applyAlignment="1">
      <alignment vertical="center" wrapText="1"/>
    </xf>
    <xf numFmtId="0" fontId="24" fillId="0" borderId="20" xfId="0" applyFont="1" applyBorder="1"/>
    <xf numFmtId="0" fontId="23" fillId="5" borderId="21" xfId="0" applyFont="1" applyFill="1" applyBorder="1" applyAlignment="1">
      <alignment horizontal="left" vertical="center"/>
    </xf>
    <xf numFmtId="168" fontId="24" fillId="0" borderId="22" xfId="0" quotePrefix="1" applyNumberFormat="1" applyFont="1" applyBorder="1" applyAlignment="1">
      <alignment horizontal="left" vertical="center" wrapText="1"/>
    </xf>
    <xf numFmtId="0" fontId="25" fillId="5" borderId="23" xfId="0" applyFont="1" applyFill="1" applyBorder="1" applyAlignment="1">
      <alignment horizontal="left" vertical="center"/>
    </xf>
    <xf numFmtId="0" fontId="24" fillId="0" borderId="24" xfId="0" applyFont="1" applyBorder="1" applyAlignment="1">
      <alignment vertical="center"/>
    </xf>
    <xf numFmtId="0" fontId="25" fillId="5" borderId="25" xfId="0" applyFont="1" applyFill="1" applyBorder="1" applyAlignment="1">
      <alignment horizontal="left" vertical="center" wrapText="1"/>
    </xf>
    <xf numFmtId="0" fontId="24" fillId="0" borderId="24" xfId="0" applyFont="1" applyBorder="1" applyAlignment="1">
      <alignment vertical="center" wrapText="1"/>
    </xf>
    <xf numFmtId="0" fontId="24" fillId="0" borderId="24" xfId="0" applyFont="1" applyBorder="1" applyAlignment="1">
      <alignment vertical="top" wrapText="1"/>
    </xf>
    <xf numFmtId="0" fontId="25" fillId="5" borderId="25" xfId="0" applyFont="1" applyFill="1" applyBorder="1" applyAlignment="1">
      <alignment horizontal="left" vertical="center"/>
    </xf>
    <xf numFmtId="0" fontId="26" fillId="2" borderId="26" xfId="0" applyFont="1" applyFill="1" applyBorder="1" applyAlignment="1">
      <alignment vertical="center" wrapText="1"/>
    </xf>
    <xf numFmtId="0" fontId="24" fillId="0" borderId="24" xfId="0" applyFont="1" applyBorder="1" applyAlignment="1">
      <alignment horizontal="left" vertical="center" wrapText="1"/>
    </xf>
    <xf numFmtId="0" fontId="27" fillId="0" borderId="27" xfId="2" applyFont="1" applyBorder="1" applyAlignment="1">
      <alignment vertical="center"/>
    </xf>
    <xf numFmtId="0" fontId="26" fillId="0" borderId="28" xfId="0" applyFont="1" applyBorder="1" applyAlignment="1">
      <alignment horizontal="left" vertical="center" wrapText="1"/>
    </xf>
    <xf numFmtId="0" fontId="25" fillId="5" borderId="29" xfId="0" applyFont="1" applyFill="1" applyBorder="1" applyAlignment="1">
      <alignment horizontal="left" vertical="center"/>
    </xf>
    <xf numFmtId="0" fontId="26" fillId="2" borderId="30" xfId="0" applyFont="1" applyFill="1" applyBorder="1" applyAlignment="1">
      <alignment vertical="center" wrapText="1"/>
    </xf>
    <xf numFmtId="0" fontId="0" fillId="0" borderId="20" xfId="0" applyBorder="1"/>
    <xf numFmtId="0" fontId="17" fillId="0" borderId="2" xfId="0" applyFont="1" applyFill="1" applyBorder="1" applyAlignment="1">
      <alignment horizontal="center"/>
    </xf>
    <xf numFmtId="0" fontId="2" fillId="0" borderId="2" xfId="0" applyFont="1" applyFill="1" applyBorder="1" applyAlignment="1">
      <alignment horizontal="center" wrapText="1"/>
    </xf>
    <xf numFmtId="0" fontId="20" fillId="2" borderId="2" xfId="0" applyFont="1" applyFill="1" applyBorder="1" applyAlignment="1">
      <alignment horizontal="center" vertical="top" wrapText="1"/>
    </xf>
    <xf numFmtId="0" fontId="20" fillId="2" borderId="2" xfId="0" applyFont="1" applyFill="1" applyBorder="1" applyAlignment="1">
      <alignment horizontal="center" vertical="center" wrapText="1"/>
    </xf>
    <xf numFmtId="165" fontId="17" fillId="0" borderId="3" xfId="0" applyNumberFormat="1" applyFont="1" applyFill="1" applyBorder="1" applyAlignment="1">
      <alignment horizontal="center"/>
    </xf>
    <xf numFmtId="165" fontId="17" fillId="0" borderId="4" xfId="0" applyNumberFormat="1" applyFont="1" applyFill="1" applyBorder="1" applyAlignment="1">
      <alignment horizontal="center"/>
    </xf>
    <xf numFmtId="165" fontId="17" fillId="0" borderId="5" xfId="0" applyNumberFormat="1" applyFont="1" applyFill="1" applyBorder="1" applyAlignment="1">
      <alignment horizontal="center"/>
    </xf>
    <xf numFmtId="165" fontId="17" fillId="0" borderId="8" xfId="0" applyNumberFormat="1" applyFont="1" applyFill="1" applyBorder="1" applyAlignment="1">
      <alignment horizontal="center" vertical="center"/>
    </xf>
    <xf numFmtId="165" fontId="17" fillId="0" borderId="9" xfId="0" applyNumberFormat="1" applyFont="1" applyFill="1" applyBorder="1" applyAlignment="1">
      <alignment horizontal="center" vertical="center"/>
    </xf>
    <xf numFmtId="165" fontId="17" fillId="0" borderId="10" xfId="0" applyNumberFormat="1" applyFont="1" applyFill="1" applyBorder="1" applyAlignment="1">
      <alignment horizontal="center" vertical="center"/>
    </xf>
    <xf numFmtId="165" fontId="17" fillId="0" borderId="11" xfId="0" applyNumberFormat="1" applyFont="1" applyFill="1" applyBorder="1" applyAlignment="1">
      <alignment horizontal="center" vertical="center"/>
    </xf>
    <xf numFmtId="165" fontId="17" fillId="0" borderId="0" xfId="0" applyNumberFormat="1" applyFont="1" applyFill="1" applyBorder="1" applyAlignment="1">
      <alignment horizontal="center" vertical="center"/>
    </xf>
    <xf numFmtId="165" fontId="17" fillId="0" borderId="12" xfId="0" applyNumberFormat="1" applyFont="1" applyFill="1" applyBorder="1" applyAlignment="1">
      <alignment horizontal="center" vertical="center"/>
    </xf>
    <xf numFmtId="165" fontId="17" fillId="0" borderId="13" xfId="0" applyNumberFormat="1" applyFont="1" applyFill="1" applyBorder="1" applyAlignment="1">
      <alignment horizontal="center" vertical="center"/>
    </xf>
    <xf numFmtId="165" fontId="17" fillId="0" borderId="6" xfId="0" applyNumberFormat="1" applyFont="1" applyFill="1" applyBorder="1" applyAlignment="1">
      <alignment horizontal="center" vertical="center"/>
    </xf>
    <xf numFmtId="165" fontId="17" fillId="0" borderId="7" xfId="0" applyNumberFormat="1" applyFont="1" applyFill="1" applyBorder="1" applyAlignment="1">
      <alignment horizontal="center" vertical="center"/>
    </xf>
    <xf numFmtId="0" fontId="19" fillId="0" borderId="3" xfId="0" applyFont="1" applyFill="1" applyBorder="1" applyAlignment="1">
      <alignment horizontal="center"/>
    </xf>
    <xf numFmtId="0" fontId="19" fillId="0" borderId="4" xfId="0" applyFont="1" applyFill="1" applyBorder="1" applyAlignment="1">
      <alignment horizontal="center"/>
    </xf>
    <xf numFmtId="0" fontId="19" fillId="0" borderId="5" xfId="0" applyFont="1" applyFill="1" applyBorder="1" applyAlignment="1">
      <alignment horizontal="center"/>
    </xf>
    <xf numFmtId="0" fontId="17" fillId="0" borderId="1" xfId="0" applyFont="1" applyFill="1" applyBorder="1" applyAlignment="1">
      <alignment horizontal="center"/>
    </xf>
    <xf numFmtId="0" fontId="17" fillId="0" borderId="1" xfId="0" applyFont="1" applyFill="1" applyBorder="1" applyAlignment="1">
      <alignment horizontal="left" vertical="center" wrapText="1"/>
    </xf>
    <xf numFmtId="0" fontId="17" fillId="0" borderId="1" xfId="0" applyFont="1" applyFill="1" applyBorder="1" applyAlignment="1">
      <alignment horizontal="right" vertical="center" wrapText="1"/>
    </xf>
    <xf numFmtId="0" fontId="17" fillId="0" borderId="1" xfId="0" applyFont="1" applyFill="1" applyBorder="1" applyAlignment="1">
      <alignment horizontal="center" vertical="center"/>
    </xf>
    <xf numFmtId="1" fontId="0" fillId="0" borderId="1" xfId="0" applyNumberFormat="1" applyFill="1" applyBorder="1" applyAlignment="1">
      <alignment horizontal="right" vertical="center" wrapText="1"/>
    </xf>
    <xf numFmtId="0" fontId="0" fillId="2" borderId="2" xfId="0" applyFill="1" applyBorder="1" applyAlignment="1">
      <alignment horizontal="center"/>
    </xf>
    <xf numFmtId="0" fontId="17" fillId="0" borderId="3" xfId="0" applyFont="1" applyFill="1" applyBorder="1" applyAlignment="1">
      <alignment horizontal="center"/>
    </xf>
    <xf numFmtId="0" fontId="17" fillId="0" borderId="4" xfId="0" applyFont="1" applyFill="1" applyBorder="1" applyAlignment="1">
      <alignment horizontal="center"/>
    </xf>
    <xf numFmtId="0" fontId="17" fillId="0" borderId="5" xfId="0" applyFont="1" applyFill="1" applyBorder="1" applyAlignment="1">
      <alignment horizontal="center"/>
    </xf>
    <xf numFmtId="0" fontId="2" fillId="2" borderId="2" xfId="0" applyFont="1" applyFill="1" applyBorder="1" applyAlignment="1">
      <alignment horizontal="center"/>
    </xf>
    <xf numFmtId="0" fontId="17" fillId="2" borderId="0" xfId="0" applyFont="1" applyFill="1" applyBorder="1" applyAlignment="1">
      <alignment horizontal="center"/>
    </xf>
    <xf numFmtId="0" fontId="19" fillId="0" borderId="6" xfId="0" applyFont="1" applyFill="1" applyBorder="1" applyAlignment="1">
      <alignment horizontal="left" vertical="center"/>
    </xf>
    <xf numFmtId="0" fontId="19" fillId="0" borderId="7" xfId="0" applyFont="1" applyFill="1" applyBorder="1" applyAlignment="1">
      <alignment horizontal="left" vertical="center"/>
    </xf>
    <xf numFmtId="0" fontId="0" fillId="0" borderId="3" xfId="0" applyFill="1" applyBorder="1" applyAlignment="1">
      <alignment horizontal="center"/>
    </xf>
    <xf numFmtId="0" fontId="0" fillId="0" borderId="4" xfId="0" applyFill="1" applyBorder="1" applyAlignment="1">
      <alignment horizontal="center"/>
    </xf>
    <xf numFmtId="0" fontId="0" fillId="0" borderId="5" xfId="0" applyFill="1" applyBorder="1" applyAlignment="1">
      <alignment horizontal="center"/>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12" fillId="0" borderId="2" xfId="2"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0" fontId="0" fillId="0" borderId="2" xfId="0" applyFont="1" applyFill="1" applyBorder="1" applyAlignment="1">
      <alignment horizontal="center" vertical="center"/>
    </xf>
    <xf numFmtId="0" fontId="12" fillId="0" borderId="2" xfId="2" applyFill="1" applyBorder="1" applyAlignment="1">
      <alignment horizontal="center" vertical="center"/>
    </xf>
  </cellXfs>
  <cellStyles count="18">
    <cellStyle name="Comma" xfId="17" builtinId="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Hyperlink" xfId="2" builtinId="8"/>
    <cellStyle name="Normal" xfId="0" builtinId="0"/>
    <cellStyle name="Normal 2" xfId="1" xr:uid="{00000000-0005-0000-0000-000010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5" Type="http://schemas.openxmlformats.org/officeDocument/2006/relationships/chartsheet" Target="chartsheets/sheet1.xml"/><Relationship Id="rId15" Type="http://schemas.openxmlformats.org/officeDocument/2006/relationships/calcChain" Target="calcChain.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782407517910669E-2"/>
          <c:y val="6.6780742446031813E-2"/>
          <c:w val="0.90628265147326892"/>
          <c:h val="0.52626595642781415"/>
        </c:manualLayout>
      </c:layout>
      <c:areaChart>
        <c:grouping val="stacked"/>
        <c:varyColors val="0"/>
        <c:ser>
          <c:idx val="0"/>
          <c:order val="0"/>
          <c:tx>
            <c:strRef>
              <c:f>'2'!$B$5</c:f>
              <c:strCache>
                <c:ptCount val="1"/>
                <c:pt idx="0">
                  <c:v>Iron &amp; Steel</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cat>
            <c:numRef>
              <c:f>'2'!$C$3:$H$3</c:f>
              <c:numCache>
                <c:formatCode>General</c:formatCode>
                <c:ptCount val="6"/>
                <c:pt idx="0">
                  <c:v>2007</c:v>
                </c:pt>
                <c:pt idx="1">
                  <c:v>2008</c:v>
                </c:pt>
                <c:pt idx="2">
                  <c:v>2009</c:v>
                </c:pt>
                <c:pt idx="3">
                  <c:v>2010</c:v>
                </c:pt>
                <c:pt idx="4">
                  <c:v>2011</c:v>
                </c:pt>
                <c:pt idx="5">
                  <c:v>2012</c:v>
                </c:pt>
              </c:numCache>
            </c:numRef>
          </c:cat>
          <c:val>
            <c:numRef>
              <c:f>'2'!$C$5:$H$5</c:f>
              <c:numCache>
                <c:formatCode>0</c:formatCode>
                <c:ptCount val="6"/>
                <c:pt idx="0">
                  <c:v>173.18043248993874</c:v>
                </c:pt>
                <c:pt idx="1">
                  <c:v>165.55820740778921</c:v>
                </c:pt>
                <c:pt idx="2">
                  <c:v>178.51426726082065</c:v>
                </c:pt>
                <c:pt idx="3">
                  <c:v>184.61199943096662</c:v>
                </c:pt>
                <c:pt idx="4">
                  <c:v>190.66555571805873</c:v>
                </c:pt>
                <c:pt idx="5">
                  <c:v>196.78233454764901</c:v>
                </c:pt>
              </c:numCache>
            </c:numRef>
          </c:val>
          <c:extLst>
            <c:ext xmlns:c16="http://schemas.microsoft.com/office/drawing/2014/chart" uri="{C3380CC4-5D6E-409C-BE32-E72D297353CC}">
              <c16:uniqueId val="{00000000-7E15-42F2-8777-5B3940DE5ACF}"/>
            </c:ext>
          </c:extLst>
        </c:ser>
        <c:ser>
          <c:idx val="1"/>
          <c:order val="1"/>
          <c:tx>
            <c:strRef>
              <c:f>'2'!$B$6</c:f>
              <c:strCache>
                <c:ptCount val="1"/>
                <c:pt idx="0">
                  <c:v>Chemicals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cat>
            <c:numRef>
              <c:f>'2'!$C$3:$H$3</c:f>
              <c:numCache>
                <c:formatCode>General</c:formatCode>
                <c:ptCount val="6"/>
                <c:pt idx="0">
                  <c:v>2007</c:v>
                </c:pt>
                <c:pt idx="1">
                  <c:v>2008</c:v>
                </c:pt>
                <c:pt idx="2">
                  <c:v>2009</c:v>
                </c:pt>
                <c:pt idx="3">
                  <c:v>2010</c:v>
                </c:pt>
                <c:pt idx="4">
                  <c:v>2011</c:v>
                </c:pt>
                <c:pt idx="5">
                  <c:v>2012</c:v>
                </c:pt>
              </c:numCache>
            </c:numRef>
          </c:cat>
          <c:val>
            <c:numRef>
              <c:f>'2'!$C$6:$H$6</c:f>
              <c:numCache>
                <c:formatCode>0</c:formatCode>
                <c:ptCount val="6"/>
                <c:pt idx="0">
                  <c:v>50.198428652647081</c:v>
                </c:pt>
                <c:pt idx="1">
                  <c:v>49.190663221192509</c:v>
                </c:pt>
                <c:pt idx="2">
                  <c:v>54.893665429205996</c:v>
                </c:pt>
                <c:pt idx="3">
                  <c:v>58.190948376634907</c:v>
                </c:pt>
                <c:pt idx="4">
                  <c:v>51.90144158099281</c:v>
                </c:pt>
                <c:pt idx="5">
                  <c:v>45.309529990707524</c:v>
                </c:pt>
              </c:numCache>
            </c:numRef>
          </c:val>
          <c:extLst>
            <c:ext xmlns:c16="http://schemas.microsoft.com/office/drawing/2014/chart" uri="{C3380CC4-5D6E-409C-BE32-E72D297353CC}">
              <c16:uniqueId val="{00000001-7E15-42F2-8777-5B3940DE5ACF}"/>
            </c:ext>
          </c:extLst>
        </c:ser>
        <c:ser>
          <c:idx val="2"/>
          <c:order val="2"/>
          <c:tx>
            <c:strRef>
              <c:f>'2'!$B$7</c:f>
              <c:strCache>
                <c:ptCount val="1"/>
                <c:pt idx="0">
                  <c:v>Ferro Alloys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cat>
            <c:numRef>
              <c:f>'2'!$C$3:$H$3</c:f>
              <c:numCache>
                <c:formatCode>General</c:formatCode>
                <c:ptCount val="6"/>
                <c:pt idx="0">
                  <c:v>2007</c:v>
                </c:pt>
                <c:pt idx="1">
                  <c:v>2008</c:v>
                </c:pt>
                <c:pt idx="2">
                  <c:v>2009</c:v>
                </c:pt>
                <c:pt idx="3">
                  <c:v>2010</c:v>
                </c:pt>
                <c:pt idx="4">
                  <c:v>2011</c:v>
                </c:pt>
                <c:pt idx="5">
                  <c:v>2012</c:v>
                </c:pt>
              </c:numCache>
            </c:numRef>
          </c:cat>
          <c:val>
            <c:numRef>
              <c:f>'2'!$C$7:$H$7</c:f>
              <c:numCache>
                <c:formatCode>0</c:formatCode>
                <c:ptCount val="6"/>
                <c:pt idx="0">
                  <c:v>1.6103832931852757</c:v>
                </c:pt>
                <c:pt idx="1">
                  <c:v>1.0694363700701413</c:v>
                </c:pt>
                <c:pt idx="2">
                  <c:v>0.8576511811596631</c:v>
                </c:pt>
                <c:pt idx="3">
                  <c:v>3.0357159342958715</c:v>
                </c:pt>
                <c:pt idx="4">
                  <c:v>1.6174143968121006</c:v>
                </c:pt>
                <c:pt idx="5">
                  <c:v>1.1474994620360863</c:v>
                </c:pt>
              </c:numCache>
            </c:numRef>
          </c:val>
          <c:extLst>
            <c:ext xmlns:c16="http://schemas.microsoft.com/office/drawing/2014/chart" uri="{C3380CC4-5D6E-409C-BE32-E72D297353CC}">
              <c16:uniqueId val="{00000002-7E15-42F2-8777-5B3940DE5ACF}"/>
            </c:ext>
          </c:extLst>
        </c:ser>
        <c:ser>
          <c:idx val="3"/>
          <c:order val="3"/>
          <c:tx>
            <c:strRef>
              <c:f>'2'!$B$8</c:f>
              <c:strCache>
                <c:ptCount val="1"/>
                <c:pt idx="0">
                  <c:v>Non-Ferrous Metals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cat>
            <c:numRef>
              <c:f>'2'!$C$3:$H$3</c:f>
              <c:numCache>
                <c:formatCode>General</c:formatCode>
                <c:ptCount val="6"/>
                <c:pt idx="0">
                  <c:v>2007</c:v>
                </c:pt>
                <c:pt idx="1">
                  <c:v>2008</c:v>
                </c:pt>
                <c:pt idx="2">
                  <c:v>2009</c:v>
                </c:pt>
                <c:pt idx="3">
                  <c:v>2010</c:v>
                </c:pt>
                <c:pt idx="4">
                  <c:v>2011</c:v>
                </c:pt>
                <c:pt idx="5">
                  <c:v>2012</c:v>
                </c:pt>
              </c:numCache>
            </c:numRef>
          </c:cat>
          <c:val>
            <c:numRef>
              <c:f>'2'!$C$8:$H$8</c:f>
              <c:numCache>
                <c:formatCode>0</c:formatCode>
                <c:ptCount val="6"/>
                <c:pt idx="0">
                  <c:v>3.0412892150939248</c:v>
                </c:pt>
                <c:pt idx="1">
                  <c:v>6.2092834554731429</c:v>
                </c:pt>
                <c:pt idx="2">
                  <c:v>6.9085094655271631</c:v>
                </c:pt>
                <c:pt idx="3">
                  <c:v>17.971744927836877</c:v>
                </c:pt>
                <c:pt idx="4">
                  <c:v>26.536454941917011</c:v>
                </c:pt>
                <c:pt idx="5">
                  <c:v>43.76863712167453</c:v>
                </c:pt>
              </c:numCache>
            </c:numRef>
          </c:val>
          <c:extLst>
            <c:ext xmlns:c16="http://schemas.microsoft.com/office/drawing/2014/chart" uri="{C3380CC4-5D6E-409C-BE32-E72D297353CC}">
              <c16:uniqueId val="{00000003-7E15-42F2-8777-5B3940DE5ACF}"/>
            </c:ext>
          </c:extLst>
        </c:ser>
        <c:ser>
          <c:idx val="4"/>
          <c:order val="4"/>
          <c:tx>
            <c:strRef>
              <c:f>'2'!$B$9</c:f>
              <c:strCache>
                <c:ptCount val="1"/>
                <c:pt idx="0">
                  <c:v>Non-metallic minerals</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cat>
            <c:numRef>
              <c:f>'2'!$C$3:$H$3</c:f>
              <c:numCache>
                <c:formatCode>General</c:formatCode>
                <c:ptCount val="6"/>
                <c:pt idx="0">
                  <c:v>2007</c:v>
                </c:pt>
                <c:pt idx="1">
                  <c:v>2008</c:v>
                </c:pt>
                <c:pt idx="2">
                  <c:v>2009</c:v>
                </c:pt>
                <c:pt idx="3">
                  <c:v>2010</c:v>
                </c:pt>
                <c:pt idx="4">
                  <c:v>2011</c:v>
                </c:pt>
                <c:pt idx="5">
                  <c:v>2012</c:v>
                </c:pt>
              </c:numCache>
            </c:numRef>
          </c:cat>
          <c:val>
            <c:numRef>
              <c:f>'2'!$C$9:$H$9</c:f>
              <c:numCache>
                <c:formatCode>0</c:formatCode>
                <c:ptCount val="6"/>
                <c:pt idx="0">
                  <c:v>140.51496913529314</c:v>
                </c:pt>
                <c:pt idx="1">
                  <c:v>164.63439709245156</c:v>
                </c:pt>
                <c:pt idx="2">
                  <c:v>173.76784595505745</c:v>
                </c:pt>
                <c:pt idx="3">
                  <c:v>160.85005165769712</c:v>
                </c:pt>
                <c:pt idx="4">
                  <c:v>159.34941751467136</c:v>
                </c:pt>
                <c:pt idx="5">
                  <c:v>175.49079038461826</c:v>
                </c:pt>
              </c:numCache>
            </c:numRef>
          </c:val>
          <c:extLst>
            <c:ext xmlns:c16="http://schemas.microsoft.com/office/drawing/2014/chart" uri="{C3380CC4-5D6E-409C-BE32-E72D297353CC}">
              <c16:uniqueId val="{00000004-7E15-42F2-8777-5B3940DE5ACF}"/>
            </c:ext>
          </c:extLst>
        </c:ser>
        <c:ser>
          <c:idx val="5"/>
          <c:order val="5"/>
          <c:tx>
            <c:strRef>
              <c:f>'2'!$B$10</c:f>
              <c:strCache>
                <c:ptCount val="1"/>
                <c:pt idx="0">
                  <c:v>Non-Energy products from fuels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cat>
            <c:numRef>
              <c:f>'2'!$C$3:$H$3</c:f>
              <c:numCache>
                <c:formatCode>General</c:formatCode>
                <c:ptCount val="6"/>
                <c:pt idx="0">
                  <c:v>2007</c:v>
                </c:pt>
                <c:pt idx="1">
                  <c:v>2008</c:v>
                </c:pt>
                <c:pt idx="2">
                  <c:v>2009</c:v>
                </c:pt>
                <c:pt idx="3">
                  <c:v>2010</c:v>
                </c:pt>
                <c:pt idx="4">
                  <c:v>2011</c:v>
                </c:pt>
                <c:pt idx="5">
                  <c:v>2012</c:v>
                </c:pt>
              </c:numCache>
            </c:numRef>
          </c:cat>
          <c:val>
            <c:numRef>
              <c:f>'2'!$C$10:$H$10</c:f>
              <c:numCache>
                <c:formatCode>0</c:formatCode>
                <c:ptCount val="6"/>
                <c:pt idx="0">
                  <c:v>4.1829480866626199</c:v>
                </c:pt>
                <c:pt idx="1">
                  <c:v>3.5754227607979008</c:v>
                </c:pt>
                <c:pt idx="2">
                  <c:v>3.5969273433526885</c:v>
                </c:pt>
                <c:pt idx="3">
                  <c:v>4.7290815084469919</c:v>
                </c:pt>
                <c:pt idx="4">
                  <c:v>5.4189624398445035</c:v>
                </c:pt>
                <c:pt idx="5">
                  <c:v>5.2639934615175186</c:v>
                </c:pt>
              </c:numCache>
            </c:numRef>
          </c:val>
          <c:extLst>
            <c:ext xmlns:c16="http://schemas.microsoft.com/office/drawing/2014/chart" uri="{C3380CC4-5D6E-409C-BE32-E72D297353CC}">
              <c16:uniqueId val="{00000005-7E15-42F2-8777-5B3940DE5ACF}"/>
            </c:ext>
          </c:extLst>
        </c:ser>
        <c:ser>
          <c:idx val="6"/>
          <c:order val="6"/>
          <c:tx>
            <c:strRef>
              <c:f>'2'!$B$11</c:f>
              <c:strCache>
                <c:ptCount val="1"/>
                <c:pt idx="0">
                  <c:v>Refining + manufacture of solid fuels, Other energy Industries</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cat>
            <c:numRef>
              <c:f>'2'!$C$3:$H$3</c:f>
              <c:numCache>
                <c:formatCode>General</c:formatCode>
                <c:ptCount val="6"/>
                <c:pt idx="0">
                  <c:v>2007</c:v>
                </c:pt>
                <c:pt idx="1">
                  <c:v>2008</c:v>
                </c:pt>
                <c:pt idx="2">
                  <c:v>2009</c:v>
                </c:pt>
                <c:pt idx="3">
                  <c:v>2010</c:v>
                </c:pt>
                <c:pt idx="4">
                  <c:v>2011</c:v>
                </c:pt>
                <c:pt idx="5">
                  <c:v>2012</c:v>
                </c:pt>
              </c:numCache>
            </c:numRef>
          </c:cat>
          <c:val>
            <c:numRef>
              <c:f>'2'!$C$11:$H$11</c:f>
              <c:numCache>
                <c:formatCode>0</c:formatCode>
                <c:ptCount val="6"/>
                <c:pt idx="0">
                  <c:v>34.628645205754864</c:v>
                </c:pt>
                <c:pt idx="1">
                  <c:v>36.755677105636963</c:v>
                </c:pt>
                <c:pt idx="2">
                  <c:v>42.393379717786715</c:v>
                </c:pt>
                <c:pt idx="3">
                  <c:v>44.599738371425978</c:v>
                </c:pt>
                <c:pt idx="4">
                  <c:v>45.215338524194493</c:v>
                </c:pt>
                <c:pt idx="5">
                  <c:v>43.243695873448502</c:v>
                </c:pt>
              </c:numCache>
            </c:numRef>
          </c:val>
          <c:extLst>
            <c:ext xmlns:c16="http://schemas.microsoft.com/office/drawing/2014/chart" uri="{C3380CC4-5D6E-409C-BE32-E72D297353CC}">
              <c16:uniqueId val="{00000006-7E15-42F2-8777-5B3940DE5ACF}"/>
            </c:ext>
          </c:extLst>
        </c:ser>
        <c:ser>
          <c:idx val="7"/>
          <c:order val="7"/>
          <c:tx>
            <c:strRef>
              <c:f>'2'!$B$12</c:f>
              <c:strCache>
                <c:ptCount val="1"/>
                <c:pt idx="0">
                  <c:v>Mining</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cat>
            <c:numRef>
              <c:f>'2'!$C$3:$H$3</c:f>
              <c:numCache>
                <c:formatCode>General</c:formatCode>
                <c:ptCount val="6"/>
                <c:pt idx="0">
                  <c:v>2007</c:v>
                </c:pt>
                <c:pt idx="1">
                  <c:v>2008</c:v>
                </c:pt>
                <c:pt idx="2">
                  <c:v>2009</c:v>
                </c:pt>
                <c:pt idx="3">
                  <c:v>2010</c:v>
                </c:pt>
                <c:pt idx="4">
                  <c:v>2011</c:v>
                </c:pt>
                <c:pt idx="5">
                  <c:v>2012</c:v>
                </c:pt>
              </c:numCache>
            </c:numRef>
          </c:cat>
          <c:val>
            <c:numRef>
              <c:f>'2'!$C$12:$H$12</c:f>
              <c:numCache>
                <c:formatCode>0</c:formatCode>
                <c:ptCount val="6"/>
                <c:pt idx="0">
                  <c:v>1.6432455336152164E-2</c:v>
                </c:pt>
                <c:pt idx="1">
                  <c:v>2.0874654860937231E-2</c:v>
                </c:pt>
                <c:pt idx="2">
                  <c:v>6.2345874137969395E-2</c:v>
                </c:pt>
                <c:pt idx="3">
                  <c:v>5.0734281375612443E-2</c:v>
                </c:pt>
                <c:pt idx="4">
                  <c:v>4.1174129314250865E-2</c:v>
                </c:pt>
                <c:pt idx="5">
                  <c:v>1.9011390986537865E-2</c:v>
                </c:pt>
              </c:numCache>
            </c:numRef>
          </c:val>
          <c:extLst>
            <c:ext xmlns:c16="http://schemas.microsoft.com/office/drawing/2014/chart" uri="{C3380CC4-5D6E-409C-BE32-E72D297353CC}">
              <c16:uniqueId val="{00000007-7E15-42F2-8777-5B3940DE5ACF}"/>
            </c:ext>
          </c:extLst>
        </c:ser>
        <c:ser>
          <c:idx val="8"/>
          <c:order val="8"/>
          <c:tx>
            <c:strRef>
              <c:f>'2'!$B$13</c:f>
              <c:strCache>
                <c:ptCount val="1"/>
                <c:pt idx="0">
                  <c:v>Textile and Leather</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cat>
            <c:numRef>
              <c:f>'2'!$C$3:$H$3</c:f>
              <c:numCache>
                <c:formatCode>General</c:formatCode>
                <c:ptCount val="6"/>
                <c:pt idx="0">
                  <c:v>2007</c:v>
                </c:pt>
                <c:pt idx="1">
                  <c:v>2008</c:v>
                </c:pt>
                <c:pt idx="2">
                  <c:v>2009</c:v>
                </c:pt>
                <c:pt idx="3">
                  <c:v>2010</c:v>
                </c:pt>
                <c:pt idx="4">
                  <c:v>2011</c:v>
                </c:pt>
                <c:pt idx="5">
                  <c:v>2012</c:v>
                </c:pt>
              </c:numCache>
            </c:numRef>
          </c:cat>
          <c:val>
            <c:numRef>
              <c:f>'2'!$C$13:$H$13</c:f>
              <c:numCache>
                <c:formatCode>0</c:formatCode>
                <c:ptCount val="6"/>
                <c:pt idx="0">
                  <c:v>14.198511796279865</c:v>
                </c:pt>
                <c:pt idx="1">
                  <c:v>15.043589406146618</c:v>
                </c:pt>
                <c:pt idx="2">
                  <c:v>14.284676812283438</c:v>
                </c:pt>
                <c:pt idx="3">
                  <c:v>10.006704629173827</c:v>
                </c:pt>
                <c:pt idx="4">
                  <c:v>9.8123173429696209</c:v>
                </c:pt>
                <c:pt idx="5">
                  <c:v>11.194101679270593</c:v>
                </c:pt>
              </c:numCache>
            </c:numRef>
          </c:val>
          <c:extLst>
            <c:ext xmlns:c16="http://schemas.microsoft.com/office/drawing/2014/chart" uri="{C3380CC4-5D6E-409C-BE32-E72D297353CC}">
              <c16:uniqueId val="{00000008-7E15-42F2-8777-5B3940DE5ACF}"/>
            </c:ext>
          </c:extLst>
        </c:ser>
        <c:ser>
          <c:idx val="9"/>
          <c:order val="9"/>
          <c:tx>
            <c:strRef>
              <c:f>'2'!$B$14</c:f>
              <c:strCache>
                <c:ptCount val="1"/>
                <c:pt idx="0">
                  <c:v>Food &amp; Beverages</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cat>
            <c:numRef>
              <c:f>'2'!$C$3:$H$3</c:f>
              <c:numCache>
                <c:formatCode>General</c:formatCode>
                <c:ptCount val="6"/>
                <c:pt idx="0">
                  <c:v>2007</c:v>
                </c:pt>
                <c:pt idx="1">
                  <c:v>2008</c:v>
                </c:pt>
                <c:pt idx="2">
                  <c:v>2009</c:v>
                </c:pt>
                <c:pt idx="3">
                  <c:v>2010</c:v>
                </c:pt>
                <c:pt idx="4">
                  <c:v>2011</c:v>
                </c:pt>
                <c:pt idx="5">
                  <c:v>2012</c:v>
                </c:pt>
              </c:numCache>
            </c:numRef>
          </c:cat>
          <c:val>
            <c:numRef>
              <c:f>'2'!$C$14:$H$14</c:f>
              <c:numCache>
                <c:formatCode>0</c:formatCode>
                <c:ptCount val="6"/>
                <c:pt idx="0">
                  <c:v>4.4106995492598271</c:v>
                </c:pt>
                <c:pt idx="1">
                  <c:v>6.9965817394415364</c:v>
                </c:pt>
                <c:pt idx="2">
                  <c:v>8.5184161355044239</c:v>
                </c:pt>
                <c:pt idx="3">
                  <c:v>2.4490692239008869</c:v>
                </c:pt>
                <c:pt idx="4">
                  <c:v>6.2268134113721896</c:v>
                </c:pt>
                <c:pt idx="5">
                  <c:v>1.6194301518701819</c:v>
                </c:pt>
              </c:numCache>
            </c:numRef>
          </c:val>
          <c:extLst>
            <c:ext xmlns:c16="http://schemas.microsoft.com/office/drawing/2014/chart" uri="{C3380CC4-5D6E-409C-BE32-E72D297353CC}">
              <c16:uniqueId val="{00000009-7E15-42F2-8777-5B3940DE5ACF}"/>
            </c:ext>
          </c:extLst>
        </c:ser>
        <c:ser>
          <c:idx val="10"/>
          <c:order val="10"/>
          <c:tx>
            <c:strRef>
              <c:f>'2'!$B$15</c:f>
              <c:strCache>
                <c:ptCount val="1"/>
                <c:pt idx="0">
                  <c:v>Pulp, paper and Print</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cat>
            <c:numRef>
              <c:f>'2'!$C$3:$H$3</c:f>
              <c:numCache>
                <c:formatCode>General</c:formatCode>
                <c:ptCount val="6"/>
                <c:pt idx="0">
                  <c:v>2007</c:v>
                </c:pt>
                <c:pt idx="1">
                  <c:v>2008</c:v>
                </c:pt>
                <c:pt idx="2">
                  <c:v>2009</c:v>
                </c:pt>
                <c:pt idx="3">
                  <c:v>2010</c:v>
                </c:pt>
                <c:pt idx="4">
                  <c:v>2011</c:v>
                </c:pt>
                <c:pt idx="5">
                  <c:v>2012</c:v>
                </c:pt>
              </c:numCache>
            </c:numRef>
          </c:cat>
          <c:val>
            <c:numRef>
              <c:f>'2'!$C$15:$H$15</c:f>
              <c:numCache>
                <c:formatCode>0</c:formatCode>
                <c:ptCount val="6"/>
                <c:pt idx="0">
                  <c:v>8.5274847754987242</c:v>
                </c:pt>
                <c:pt idx="1">
                  <c:v>9.7545314456219234</c:v>
                </c:pt>
                <c:pt idx="2">
                  <c:v>12.1107903291184</c:v>
                </c:pt>
                <c:pt idx="3">
                  <c:v>8.2238506051016884</c:v>
                </c:pt>
                <c:pt idx="4">
                  <c:v>7.6349996270355227</c:v>
                </c:pt>
                <c:pt idx="5">
                  <c:v>9.3846501766828343</c:v>
                </c:pt>
              </c:numCache>
            </c:numRef>
          </c:val>
          <c:extLst>
            <c:ext xmlns:c16="http://schemas.microsoft.com/office/drawing/2014/chart" uri="{C3380CC4-5D6E-409C-BE32-E72D297353CC}">
              <c16:uniqueId val="{0000000A-7E15-42F2-8777-5B3940DE5ACF}"/>
            </c:ext>
          </c:extLst>
        </c:ser>
        <c:ser>
          <c:idx val="11"/>
          <c:order val="11"/>
          <c:tx>
            <c:strRef>
              <c:f>'2'!$B$16</c:f>
              <c:strCache>
                <c:ptCount val="1"/>
                <c:pt idx="0">
                  <c:v>Transport Equipment</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cat>
            <c:numRef>
              <c:f>'2'!$C$3:$H$3</c:f>
              <c:numCache>
                <c:formatCode>General</c:formatCode>
                <c:ptCount val="6"/>
                <c:pt idx="0">
                  <c:v>2007</c:v>
                </c:pt>
                <c:pt idx="1">
                  <c:v>2008</c:v>
                </c:pt>
                <c:pt idx="2">
                  <c:v>2009</c:v>
                </c:pt>
                <c:pt idx="3">
                  <c:v>2010</c:v>
                </c:pt>
                <c:pt idx="4">
                  <c:v>2011</c:v>
                </c:pt>
                <c:pt idx="5">
                  <c:v>2012</c:v>
                </c:pt>
              </c:numCache>
            </c:numRef>
          </c:cat>
          <c:val>
            <c:numRef>
              <c:f>'2'!$C$16:$H$16</c:f>
              <c:numCache>
                <c:formatCode>0</c:formatCode>
                <c:ptCount val="6"/>
                <c:pt idx="0">
                  <c:v>0.38403161295342031</c:v>
                </c:pt>
                <c:pt idx="1">
                  <c:v>0.62509419832230506</c:v>
                </c:pt>
                <c:pt idx="2">
                  <c:v>1.0399090113629783</c:v>
                </c:pt>
                <c:pt idx="3">
                  <c:v>0.27718142619629227</c:v>
                </c:pt>
                <c:pt idx="4">
                  <c:v>0</c:v>
                </c:pt>
                <c:pt idx="5">
                  <c:v>1.0000464224888843</c:v>
                </c:pt>
              </c:numCache>
            </c:numRef>
          </c:val>
          <c:extLst>
            <c:ext xmlns:c16="http://schemas.microsoft.com/office/drawing/2014/chart" uri="{C3380CC4-5D6E-409C-BE32-E72D297353CC}">
              <c16:uniqueId val="{0000000B-7E15-42F2-8777-5B3940DE5ACF}"/>
            </c:ext>
          </c:extLst>
        </c:ser>
        <c:ser>
          <c:idx val="12"/>
          <c:order val="12"/>
          <c:tx>
            <c:strRef>
              <c:f>'2'!$B$17</c:f>
              <c:strCache>
                <c:ptCount val="1"/>
                <c:pt idx="0">
                  <c:v>Wood &amp; wood products</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cat>
            <c:numRef>
              <c:f>'2'!$C$3:$H$3</c:f>
              <c:numCache>
                <c:formatCode>General</c:formatCode>
                <c:ptCount val="6"/>
                <c:pt idx="0">
                  <c:v>2007</c:v>
                </c:pt>
                <c:pt idx="1">
                  <c:v>2008</c:v>
                </c:pt>
                <c:pt idx="2">
                  <c:v>2009</c:v>
                </c:pt>
                <c:pt idx="3">
                  <c:v>2010</c:v>
                </c:pt>
                <c:pt idx="4">
                  <c:v>2011</c:v>
                </c:pt>
                <c:pt idx="5">
                  <c:v>2012</c:v>
                </c:pt>
              </c:numCache>
            </c:numRef>
          </c:cat>
          <c:val>
            <c:numRef>
              <c:f>'2'!$C$17:$H$17</c:f>
              <c:numCache>
                <c:formatCode>0</c:formatCode>
                <c:ptCount val="6"/>
                <c:pt idx="0">
                  <c:v>7.7022926826182947E-2</c:v>
                </c:pt>
                <c:pt idx="1">
                  <c:v>0.2421705218782238</c:v>
                </c:pt>
                <c:pt idx="2">
                  <c:v>0.36529611762653097</c:v>
                </c:pt>
                <c:pt idx="3">
                  <c:v>0.1430943469621456</c:v>
                </c:pt>
                <c:pt idx="4">
                  <c:v>7.6946910355149944E-2</c:v>
                </c:pt>
                <c:pt idx="5">
                  <c:v>0.19028486590869945</c:v>
                </c:pt>
              </c:numCache>
            </c:numRef>
          </c:val>
          <c:extLst>
            <c:ext xmlns:c16="http://schemas.microsoft.com/office/drawing/2014/chart" uri="{C3380CC4-5D6E-409C-BE32-E72D297353CC}">
              <c16:uniqueId val="{0000000C-7E15-42F2-8777-5B3940DE5ACF}"/>
            </c:ext>
          </c:extLst>
        </c:ser>
        <c:ser>
          <c:idx val="13"/>
          <c:order val="13"/>
          <c:tx>
            <c:strRef>
              <c:f>'2'!$B$18</c:f>
              <c:strCache>
                <c:ptCount val="1"/>
                <c:pt idx="0">
                  <c:v>Construction</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cat>
            <c:numRef>
              <c:f>'2'!$C$3:$H$3</c:f>
              <c:numCache>
                <c:formatCode>General</c:formatCode>
                <c:ptCount val="6"/>
                <c:pt idx="0">
                  <c:v>2007</c:v>
                </c:pt>
                <c:pt idx="1">
                  <c:v>2008</c:v>
                </c:pt>
                <c:pt idx="2">
                  <c:v>2009</c:v>
                </c:pt>
                <c:pt idx="3">
                  <c:v>2010</c:v>
                </c:pt>
                <c:pt idx="4">
                  <c:v>2011</c:v>
                </c:pt>
                <c:pt idx="5">
                  <c:v>2012</c:v>
                </c:pt>
              </c:numCache>
            </c:numRef>
          </c:cat>
          <c:val>
            <c:numRef>
              <c:f>'2'!$C$18:$H$18</c:f>
              <c:numCache>
                <c:formatCode>0</c:formatCode>
                <c:ptCount val="6"/>
                <c:pt idx="0">
                  <c:v>4.5464014106213167E-3</c:v>
                </c:pt>
                <c:pt idx="1">
                  <c:v>0.79281293953486076</c:v>
                </c:pt>
                <c:pt idx="2">
                  <c:v>0.26915730418604439</c:v>
                </c:pt>
                <c:pt idx="3">
                  <c:v>1.6871495307031214E-3</c:v>
                </c:pt>
                <c:pt idx="4">
                  <c:v>0</c:v>
                </c:pt>
                <c:pt idx="5">
                  <c:v>3.990739688394777E-3</c:v>
                </c:pt>
              </c:numCache>
            </c:numRef>
          </c:val>
          <c:extLst>
            <c:ext xmlns:c16="http://schemas.microsoft.com/office/drawing/2014/chart" uri="{C3380CC4-5D6E-409C-BE32-E72D297353CC}">
              <c16:uniqueId val="{0000000D-7E15-42F2-8777-5B3940DE5ACF}"/>
            </c:ext>
          </c:extLst>
        </c:ser>
        <c:ser>
          <c:idx val="14"/>
          <c:order val="14"/>
          <c:tx>
            <c:strRef>
              <c:f>'2'!$B$19</c:f>
              <c:strCache>
                <c:ptCount val="1"/>
                <c:pt idx="0">
                  <c:v>Machinery</c:v>
                </c:pt>
              </c:strCache>
            </c:strRef>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cat>
            <c:numRef>
              <c:f>'2'!$C$3:$H$3</c:f>
              <c:numCache>
                <c:formatCode>General</c:formatCode>
                <c:ptCount val="6"/>
                <c:pt idx="0">
                  <c:v>2007</c:v>
                </c:pt>
                <c:pt idx="1">
                  <c:v>2008</c:v>
                </c:pt>
                <c:pt idx="2">
                  <c:v>2009</c:v>
                </c:pt>
                <c:pt idx="3">
                  <c:v>2010</c:v>
                </c:pt>
                <c:pt idx="4">
                  <c:v>2011</c:v>
                </c:pt>
                <c:pt idx="5">
                  <c:v>2012</c:v>
                </c:pt>
              </c:numCache>
            </c:numRef>
          </c:cat>
          <c:val>
            <c:numRef>
              <c:f>'2'!$C$19:$H$19</c:f>
              <c:numCache>
                <c:formatCode>0</c:formatCode>
                <c:ptCount val="6"/>
                <c:pt idx="0">
                  <c:v>4.1166942856914464</c:v>
                </c:pt>
                <c:pt idx="1">
                  <c:v>3.5109371110790315</c:v>
                </c:pt>
                <c:pt idx="2">
                  <c:v>6.3028956084125349</c:v>
                </c:pt>
                <c:pt idx="3">
                  <c:v>1.2263255927989554</c:v>
                </c:pt>
                <c:pt idx="4">
                  <c:v>0.77160002902071245</c:v>
                </c:pt>
                <c:pt idx="5">
                  <c:v>16.594657848304781</c:v>
                </c:pt>
              </c:numCache>
            </c:numRef>
          </c:val>
          <c:extLst>
            <c:ext xmlns:c16="http://schemas.microsoft.com/office/drawing/2014/chart" uri="{C3380CC4-5D6E-409C-BE32-E72D297353CC}">
              <c16:uniqueId val="{0000000E-7E15-42F2-8777-5B3940DE5ACF}"/>
            </c:ext>
          </c:extLst>
        </c:ser>
        <c:ser>
          <c:idx val="15"/>
          <c:order val="15"/>
          <c:tx>
            <c:strRef>
              <c:f>'2'!$B$20</c:f>
              <c:strCache>
                <c:ptCount val="1"/>
                <c:pt idx="0">
                  <c:v>Manufacturing n.e.c (jewellery, sports and musical instruments)</c:v>
                </c:pt>
              </c:strCache>
            </c:strRef>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cat>
            <c:numRef>
              <c:f>'2'!$C$3:$H$3</c:f>
              <c:numCache>
                <c:formatCode>General</c:formatCode>
                <c:ptCount val="6"/>
                <c:pt idx="0">
                  <c:v>2007</c:v>
                </c:pt>
                <c:pt idx="1">
                  <c:v>2008</c:v>
                </c:pt>
                <c:pt idx="2">
                  <c:v>2009</c:v>
                </c:pt>
                <c:pt idx="3">
                  <c:v>2010</c:v>
                </c:pt>
                <c:pt idx="4">
                  <c:v>2011</c:v>
                </c:pt>
                <c:pt idx="5">
                  <c:v>2012</c:v>
                </c:pt>
              </c:numCache>
            </c:numRef>
          </c:cat>
          <c:val>
            <c:numRef>
              <c:f>'2'!$C$20:$H$20</c:f>
              <c:numCache>
                <c:formatCode>0</c:formatCode>
                <c:ptCount val="6"/>
                <c:pt idx="0">
                  <c:v>1.6632013871465108</c:v>
                </c:pt>
                <c:pt idx="1">
                  <c:v>0.60049272495682882</c:v>
                </c:pt>
                <c:pt idx="2">
                  <c:v>2.9218017602354251</c:v>
                </c:pt>
                <c:pt idx="3">
                  <c:v>1.7403341301412942</c:v>
                </c:pt>
                <c:pt idx="4">
                  <c:v>1.7219099117190504</c:v>
                </c:pt>
                <c:pt idx="5">
                  <c:v>2.9286176610056791</c:v>
                </c:pt>
              </c:numCache>
            </c:numRef>
          </c:val>
          <c:extLst>
            <c:ext xmlns:c16="http://schemas.microsoft.com/office/drawing/2014/chart" uri="{C3380CC4-5D6E-409C-BE32-E72D297353CC}">
              <c16:uniqueId val="{0000000F-7E15-42F2-8777-5B3940DE5ACF}"/>
            </c:ext>
          </c:extLst>
        </c:ser>
        <c:dLbls>
          <c:showLegendKey val="0"/>
          <c:showVal val="0"/>
          <c:showCatName val="0"/>
          <c:showSerName val="0"/>
          <c:showPercent val="0"/>
          <c:showBubbleSize val="0"/>
        </c:dLbls>
        <c:axId val="-2110106048"/>
        <c:axId val="-2075422816"/>
      </c:areaChart>
      <c:catAx>
        <c:axId val="-211010604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075422816"/>
        <c:crosses val="autoZero"/>
        <c:auto val="1"/>
        <c:lblAlgn val="ctr"/>
        <c:lblOffset val="100"/>
        <c:noMultiLvlLbl val="0"/>
      </c:catAx>
      <c:valAx>
        <c:axId val="-2075422816"/>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Emissions ('000 tonnes)</a:t>
                </a:r>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110106048"/>
        <c:crosses val="autoZero"/>
        <c:crossBetween val="midCat"/>
      </c:valAx>
      <c:spPr>
        <a:noFill/>
        <a:ln>
          <a:noFill/>
        </a:ln>
        <a:effectLst/>
      </c:spPr>
    </c:plotArea>
    <c:legend>
      <c:legendPos val="b"/>
      <c:layout>
        <c:manualLayout>
          <c:xMode val="edge"/>
          <c:yMode val="edge"/>
          <c:x val="9.8876950343557105E-2"/>
          <c:y val="0.66495784151737203"/>
          <c:w val="0.847936991422089"/>
          <c:h val="0.315616435281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21486317436214E-2"/>
          <c:y val="0.17400717118778011"/>
          <c:w val="0.86541385390114867"/>
          <c:h val="0.68202316039143174"/>
        </c:manualLayout>
      </c:layout>
      <c:scatterChart>
        <c:scatterStyle val="smoothMarker"/>
        <c:varyColors val="0"/>
        <c:ser>
          <c:idx val="0"/>
          <c:order val="0"/>
          <c:tx>
            <c:strRef>
              <c:f>'5'!$B$3</c:f>
              <c:strCache>
                <c:ptCount val="1"/>
                <c:pt idx="0">
                  <c:v>CEEW GHG Emissions (million tonnes)</c:v>
                </c:pt>
              </c:strCache>
            </c:strRef>
          </c:tx>
          <c:spPr>
            <a:ln w="19050" cap="rnd">
              <a:solidFill>
                <a:schemeClr val="accent1"/>
              </a:solidFill>
              <a:prstDash val="solid"/>
              <a:round/>
            </a:ln>
            <a:effectLst/>
          </c:spPr>
          <c:marker>
            <c:symbol val="circle"/>
            <c:size val="5"/>
            <c:spPr>
              <a:solidFill>
                <a:schemeClr val="accent1"/>
              </a:solidFill>
              <a:ln w="9525">
                <a:solidFill>
                  <a:schemeClr val="accent1"/>
                </a:solidFill>
              </a:ln>
              <a:effectLst/>
            </c:spPr>
          </c:marker>
          <c:xVal>
            <c:numRef>
              <c:f>'5'!$A$4:$A$10</c:f>
              <c:numCache>
                <c:formatCode>General</c:formatCode>
                <c:ptCount val="7"/>
                <c:pt idx="0">
                  <c:v>2000</c:v>
                </c:pt>
                <c:pt idx="1">
                  <c:v>2007</c:v>
                </c:pt>
                <c:pt idx="2">
                  <c:v>2008</c:v>
                </c:pt>
                <c:pt idx="3">
                  <c:v>2009</c:v>
                </c:pt>
                <c:pt idx="4">
                  <c:v>2010</c:v>
                </c:pt>
                <c:pt idx="5">
                  <c:v>2011</c:v>
                </c:pt>
                <c:pt idx="6">
                  <c:v>2012</c:v>
                </c:pt>
              </c:numCache>
            </c:numRef>
          </c:xVal>
          <c:yVal>
            <c:numRef>
              <c:f>'5'!$B$4:$B$10</c:f>
              <c:numCache>
                <c:formatCode>0.00</c:formatCode>
                <c:ptCount val="7"/>
                <c:pt idx="1">
                  <c:v>440.75572126897845</c:v>
                </c:pt>
                <c:pt idx="2">
                  <c:v>464.58017215525376</c:v>
                </c:pt>
                <c:pt idx="3">
                  <c:v>506.80753530577812</c:v>
                </c:pt>
                <c:pt idx="4">
                  <c:v>498.10826159248586</c:v>
                </c:pt>
                <c:pt idx="5">
                  <c:v>506.99034647827744</c:v>
                </c:pt>
                <c:pt idx="6">
                  <c:v>553.94127177785811</c:v>
                </c:pt>
              </c:numCache>
            </c:numRef>
          </c:yVal>
          <c:smooth val="1"/>
          <c:extLst>
            <c:ext xmlns:c16="http://schemas.microsoft.com/office/drawing/2014/chart" uri="{C3380CC4-5D6E-409C-BE32-E72D297353CC}">
              <c16:uniqueId val="{00000000-6551-40B7-8C26-3B5AF0474763}"/>
            </c:ext>
          </c:extLst>
        </c:ser>
        <c:ser>
          <c:idx val="1"/>
          <c:order val="1"/>
          <c:tx>
            <c:strRef>
              <c:f>'5'!$C$3</c:f>
              <c:strCache>
                <c:ptCount val="1"/>
                <c:pt idx="0">
                  <c:v>NATCOM(million tonnes)</c:v>
                </c:pt>
              </c:strCache>
            </c:strRef>
          </c:tx>
          <c:spPr>
            <a:ln w="19050" cap="rnd">
              <a:noFill/>
              <a:round/>
            </a:ln>
            <a:effectLst/>
          </c:spPr>
          <c:marker>
            <c:symbol val="square"/>
            <c:size val="8"/>
            <c:spPr>
              <a:solidFill>
                <a:schemeClr val="accent2">
                  <a:alpha val="0"/>
                </a:schemeClr>
              </a:solidFill>
              <a:ln w="15875">
                <a:solidFill>
                  <a:schemeClr val="tx1"/>
                </a:solidFill>
              </a:ln>
              <a:effectLst/>
            </c:spPr>
          </c:marker>
          <c:xVal>
            <c:numRef>
              <c:f>'5'!$A$4</c:f>
              <c:numCache>
                <c:formatCode>General</c:formatCode>
                <c:ptCount val="1"/>
                <c:pt idx="0">
                  <c:v>2000</c:v>
                </c:pt>
              </c:numCache>
            </c:numRef>
          </c:xVal>
          <c:yVal>
            <c:numRef>
              <c:f>'5'!$C$4</c:f>
              <c:numCache>
                <c:formatCode>General</c:formatCode>
                <c:ptCount val="1"/>
                <c:pt idx="0">
                  <c:v>336.41403000000003</c:v>
                </c:pt>
              </c:numCache>
            </c:numRef>
          </c:yVal>
          <c:smooth val="1"/>
          <c:extLst>
            <c:ext xmlns:c16="http://schemas.microsoft.com/office/drawing/2014/chart" uri="{C3380CC4-5D6E-409C-BE32-E72D297353CC}">
              <c16:uniqueId val="{00000001-6551-40B7-8C26-3B5AF0474763}"/>
            </c:ext>
          </c:extLst>
        </c:ser>
        <c:ser>
          <c:idx val="2"/>
          <c:order val="2"/>
          <c:tx>
            <c:strRef>
              <c:f>'5'!$D$3</c:f>
              <c:strCache>
                <c:ptCount val="1"/>
                <c:pt idx="0">
                  <c:v>INCCA (million tonnes)</c:v>
                </c:pt>
              </c:strCache>
            </c:strRef>
          </c:tx>
          <c:spPr>
            <a:ln w="19050" cap="rnd">
              <a:noFill/>
              <a:round/>
            </a:ln>
            <a:effectLst/>
          </c:spPr>
          <c:marker>
            <c:symbol val="diamond"/>
            <c:size val="8"/>
            <c:spPr>
              <a:solidFill>
                <a:schemeClr val="tx1">
                  <a:alpha val="0"/>
                </a:schemeClr>
              </a:solidFill>
              <a:ln w="25400">
                <a:solidFill>
                  <a:schemeClr val="tx1"/>
                </a:solidFill>
              </a:ln>
              <a:effectLst/>
            </c:spPr>
          </c:marker>
          <c:xVal>
            <c:numRef>
              <c:f>'5'!$A$5</c:f>
              <c:numCache>
                <c:formatCode>General</c:formatCode>
                <c:ptCount val="1"/>
                <c:pt idx="0">
                  <c:v>2007</c:v>
                </c:pt>
              </c:numCache>
            </c:numRef>
          </c:xVal>
          <c:yVal>
            <c:numRef>
              <c:f>'5'!$D$5</c:f>
              <c:numCache>
                <c:formatCode>General</c:formatCode>
                <c:ptCount val="1"/>
                <c:pt idx="0">
                  <c:v>446.20160999999996</c:v>
                </c:pt>
              </c:numCache>
            </c:numRef>
          </c:yVal>
          <c:smooth val="1"/>
          <c:extLst>
            <c:ext xmlns:c16="http://schemas.microsoft.com/office/drawing/2014/chart" uri="{C3380CC4-5D6E-409C-BE32-E72D297353CC}">
              <c16:uniqueId val="{00000002-6551-40B7-8C26-3B5AF0474763}"/>
            </c:ext>
          </c:extLst>
        </c:ser>
        <c:ser>
          <c:idx val="3"/>
          <c:order val="3"/>
          <c:tx>
            <c:strRef>
              <c:f>'5'!$E$3</c:f>
              <c:strCache>
                <c:ptCount val="1"/>
                <c:pt idx="0">
                  <c:v>BUR (million tonnes)</c:v>
                </c:pt>
              </c:strCache>
            </c:strRef>
          </c:tx>
          <c:spPr>
            <a:ln w="19050" cap="rnd">
              <a:noFill/>
              <a:round/>
            </a:ln>
            <a:effectLst/>
          </c:spPr>
          <c:marker>
            <c:symbol val="triangle"/>
            <c:size val="8"/>
            <c:spPr>
              <a:solidFill>
                <a:schemeClr val="bg1">
                  <a:alpha val="0"/>
                </a:schemeClr>
              </a:solidFill>
              <a:ln w="15875">
                <a:solidFill>
                  <a:schemeClr val="tx1"/>
                </a:solidFill>
              </a:ln>
              <a:effectLst/>
            </c:spPr>
          </c:marker>
          <c:xVal>
            <c:numRef>
              <c:f>'5'!$A$8</c:f>
              <c:numCache>
                <c:formatCode>General</c:formatCode>
                <c:ptCount val="1"/>
                <c:pt idx="0">
                  <c:v>2010</c:v>
                </c:pt>
              </c:numCache>
            </c:numRef>
          </c:xVal>
          <c:yVal>
            <c:numRef>
              <c:f>'5'!$E$8</c:f>
              <c:numCache>
                <c:formatCode>General</c:formatCode>
                <c:ptCount val="1"/>
                <c:pt idx="0">
                  <c:v>496.69837000000001</c:v>
                </c:pt>
              </c:numCache>
            </c:numRef>
          </c:yVal>
          <c:smooth val="1"/>
          <c:extLst>
            <c:ext xmlns:c16="http://schemas.microsoft.com/office/drawing/2014/chart" uri="{C3380CC4-5D6E-409C-BE32-E72D297353CC}">
              <c16:uniqueId val="{00000003-6551-40B7-8C26-3B5AF0474763}"/>
            </c:ext>
          </c:extLst>
        </c:ser>
        <c:dLbls>
          <c:showLegendKey val="0"/>
          <c:showVal val="0"/>
          <c:showCatName val="0"/>
          <c:showSerName val="0"/>
          <c:showPercent val="0"/>
          <c:showBubbleSize val="0"/>
        </c:dLbls>
        <c:axId val="-2127809536"/>
        <c:axId val="2127066336"/>
      </c:scatterChart>
      <c:valAx>
        <c:axId val="-21278095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7066336"/>
        <c:crosses val="autoZero"/>
        <c:crossBetween val="midCat"/>
        <c:majorUnit val="1"/>
      </c:valAx>
      <c:valAx>
        <c:axId val="2127066336"/>
        <c:scaling>
          <c:orientation val="minMax"/>
          <c:max val="600"/>
          <c:min val="30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CO2</a:t>
                </a:r>
                <a:r>
                  <a:rPr lang="en-US" baseline="0"/>
                  <a:t> emissions (million tonnes)</a:t>
                </a:r>
                <a:endParaRPr lang="en-US"/>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7809536"/>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51" workbookViewId="0"/>
  </sheetViews>
  <pageMargins left="0.7" right="0.7" top="0.75" bottom="0.75" header="0.3" footer="0.3"/>
  <pageSetup paperSize="9" orientation="landscape"/>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3</xdr:col>
      <xdr:colOff>3460750</xdr:colOff>
      <xdr:row>0</xdr:row>
      <xdr:rowOff>171450</xdr:rowOff>
    </xdr:from>
    <xdr:to>
      <xdr:col>3</xdr:col>
      <xdr:colOff>4878508</xdr:colOff>
      <xdr:row>4</xdr:row>
      <xdr:rowOff>142874</xdr:rowOff>
    </xdr:to>
    <xdr:pic>
      <xdr:nvPicPr>
        <xdr:cNvPr id="2" name="Picture 1">
          <a:extLst>
            <a:ext uri="{FF2B5EF4-FFF2-40B4-BE49-F238E27FC236}">
              <a16:creationId xmlns:a16="http://schemas.microsoft.com/office/drawing/2014/main" id="{923BFC58-28AB-4C69-9F8A-90485839F6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85050" y="171450"/>
          <a:ext cx="1417758" cy="7334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282206" cy="605117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xdr:from>
      <xdr:col>6</xdr:col>
      <xdr:colOff>279400</xdr:colOff>
      <xdr:row>2</xdr:row>
      <xdr:rowOff>117475</xdr:rowOff>
    </xdr:from>
    <xdr:to>
      <xdr:col>14</xdr:col>
      <xdr:colOff>476250</xdr:colOff>
      <xdr:row>19</xdr:row>
      <xdr:rowOff>130175</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fo@ghgplatform-india.org"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ibm.nic.in/writereaddata/files/01192015114407IMYB_2013_Vol%20III_Cement%202013.pdf" TargetMode="External"/><Relationship Id="rId13" Type="http://schemas.openxmlformats.org/officeDocument/2006/relationships/hyperlink" Target="http://ibm.nic.in/writereaddata/files/05282015122910Aluminium%20&amp;%20Alumina_2013.pdf" TargetMode="External"/><Relationship Id="rId3" Type="http://schemas.openxmlformats.org/officeDocument/2006/relationships/hyperlink" Target="http://ibm.nic.in/writereaddata/files/01192015114407IMYB_2013_Vol%20III_Cement%202013.pdf" TargetMode="External"/><Relationship Id="rId7" Type="http://schemas.openxmlformats.org/officeDocument/2006/relationships/hyperlink" Target="http://www.cmaindia.org/activities/Publications-and-Periodicals.html" TargetMode="External"/><Relationship Id="rId12" Type="http://schemas.openxmlformats.org/officeDocument/2006/relationships/hyperlink" Target="http://ibm.nic.in/writereaddata/files/07092014130344IMYB-2012-%20Aluminium%20&amp;%20Alumina.pdf" TargetMode="External"/><Relationship Id="rId2" Type="http://schemas.openxmlformats.org/officeDocument/2006/relationships/hyperlink" Target="http://ibm.nic.in/writereaddata/files/07072014112401marketsurvey_leadandzinc.pdf" TargetMode="External"/><Relationship Id="rId16" Type="http://schemas.openxmlformats.org/officeDocument/2006/relationships/hyperlink" Target="http://www.mcxindia.com/downloads/overview/PDF/2010/Non-Agricultural/Aluminium.pdf" TargetMode="External"/><Relationship Id="rId1" Type="http://schemas.openxmlformats.org/officeDocument/2006/relationships/hyperlink" Target="http://www.ccl.gov.in/finc/pdf/annual_report/a_rep_2006_07.pdf" TargetMode="External"/><Relationship Id="rId6" Type="http://schemas.openxmlformats.org/officeDocument/2006/relationships/hyperlink" Target="http://ibm.nic.in/writereaddata/files/05282015123116Lead%20&amp;%20zinc_2013.pdf" TargetMode="External"/><Relationship Id="rId11" Type="http://schemas.openxmlformats.org/officeDocument/2006/relationships/hyperlink" Target="http://ibm.nic.in/writereaddata/files/07092014130344IMYB-2012-%20Aluminium%20&amp;%20Alumina.pdf" TargetMode="External"/><Relationship Id="rId5" Type="http://schemas.openxmlformats.org/officeDocument/2006/relationships/hyperlink" Target="http://www.cmaindia.org/activities/Publications-and-Periodicals.html" TargetMode="External"/><Relationship Id="rId15" Type="http://schemas.openxmlformats.org/officeDocument/2006/relationships/hyperlink" Target="http://www.mcxindia.com/downloads/overview/PDF/2010/Non-Agricultural/Aluminium.pdf" TargetMode="External"/><Relationship Id="rId10" Type="http://schemas.openxmlformats.org/officeDocument/2006/relationships/hyperlink" Target="http://chemicals.nic.in/sites/default/files/MLCPCSTAT14_2.pdf" TargetMode="External"/><Relationship Id="rId4" Type="http://schemas.openxmlformats.org/officeDocument/2006/relationships/hyperlink" Target="http://ibm.nic.in/writereaddata/files/01192015114407IMYB_2013_Vol%20III_Cement%202013.pdf" TargetMode="External"/><Relationship Id="rId9" Type="http://schemas.openxmlformats.org/officeDocument/2006/relationships/hyperlink" Target="http://ibm.nic.in/writereaddata/files/01192015114407IMYB_2013_Vol%20III_Cement%202013.pdf" TargetMode="External"/><Relationship Id="rId14" Type="http://schemas.openxmlformats.org/officeDocument/2006/relationships/hyperlink" Target="http://ibm.nic.in/writereaddata/files/05282015122910Aluminium%20&amp;%20Alumina_2013.pdf"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3"/>
  <sheetViews>
    <sheetView tabSelected="1" zoomScale="64" zoomScaleNormal="64" workbookViewId="0">
      <selection activeCell="F15" sqref="F15"/>
    </sheetView>
  </sheetViews>
  <sheetFormatPr defaultColWidth="12.5703125" defaultRowHeight="15" x14ac:dyDescent="0.25"/>
  <cols>
    <col min="1" max="2" width="12.5703125" style="4"/>
    <col min="3" max="3" width="33.7109375" style="4" customWidth="1"/>
    <col min="4" max="4" width="163.28515625" style="4" customWidth="1"/>
    <col min="5" max="16384" width="12.5703125" style="4"/>
  </cols>
  <sheetData>
    <row r="1" spans="1:23" x14ac:dyDescent="0.25">
      <c r="A1" s="157"/>
      <c r="B1" s="157"/>
      <c r="C1" s="157"/>
      <c r="D1" s="157"/>
      <c r="E1" s="157"/>
      <c r="F1" s="157"/>
      <c r="G1" s="157"/>
      <c r="H1" s="157"/>
      <c r="I1" s="157"/>
      <c r="J1" s="157"/>
      <c r="K1" s="157"/>
      <c r="L1" s="157"/>
      <c r="M1" s="157"/>
      <c r="N1" s="157"/>
      <c r="O1" s="157"/>
      <c r="P1" s="157"/>
      <c r="Q1" s="157"/>
      <c r="R1" s="157"/>
      <c r="S1" s="157"/>
      <c r="T1" s="157"/>
      <c r="U1" s="157"/>
      <c r="V1" s="157"/>
      <c r="W1" s="157"/>
    </row>
    <row r="2" spans="1:23" x14ac:dyDescent="0.25">
      <c r="A2" s="157"/>
      <c r="B2" s="157"/>
      <c r="C2" s="157"/>
      <c r="D2" s="157"/>
      <c r="E2" s="157"/>
      <c r="F2" s="157"/>
      <c r="G2" s="157"/>
      <c r="H2" s="157"/>
      <c r="I2" s="157"/>
      <c r="J2" s="157"/>
      <c r="K2" s="157"/>
      <c r="L2" s="157"/>
      <c r="M2" s="157"/>
      <c r="N2" s="157"/>
      <c r="O2" s="157"/>
      <c r="P2" s="157"/>
      <c r="Q2" s="157"/>
      <c r="R2" s="157"/>
      <c r="S2" s="157"/>
      <c r="T2" s="157"/>
      <c r="U2" s="157"/>
      <c r="V2" s="157"/>
      <c r="W2" s="157"/>
    </row>
    <row r="3" spans="1:23" x14ac:dyDescent="0.25">
      <c r="A3" s="157"/>
      <c r="B3" s="157"/>
      <c r="C3" s="157"/>
      <c r="D3" s="157"/>
      <c r="E3" s="157"/>
      <c r="F3" s="157"/>
      <c r="G3" s="157"/>
      <c r="H3" s="157"/>
      <c r="I3" s="157"/>
      <c r="J3" s="157"/>
      <c r="K3" s="157"/>
      <c r="L3" s="157"/>
      <c r="M3" s="157"/>
      <c r="N3" s="157"/>
      <c r="O3" s="157"/>
      <c r="P3" s="157"/>
      <c r="Q3" s="157"/>
      <c r="R3" s="157"/>
      <c r="S3" s="157"/>
      <c r="T3" s="157"/>
      <c r="U3" s="157"/>
      <c r="V3" s="157"/>
      <c r="W3" s="157"/>
    </row>
    <row r="4" spans="1:23" x14ac:dyDescent="0.25">
      <c r="A4" s="157"/>
      <c r="B4" s="157"/>
      <c r="C4" s="157"/>
      <c r="D4" s="157"/>
      <c r="E4" s="157"/>
      <c r="F4" s="157"/>
      <c r="G4" s="157"/>
      <c r="H4" s="157"/>
      <c r="I4" s="157"/>
      <c r="J4" s="157"/>
      <c r="K4" s="157"/>
      <c r="L4" s="157"/>
      <c r="M4" s="157"/>
      <c r="N4" s="157"/>
      <c r="O4" s="157"/>
      <c r="P4" s="157"/>
      <c r="Q4" s="157"/>
      <c r="R4" s="157"/>
      <c r="S4" s="157"/>
      <c r="T4" s="157"/>
      <c r="U4" s="157"/>
      <c r="V4" s="157"/>
      <c r="W4" s="157"/>
    </row>
    <row r="5" spans="1:23" ht="15.75" thickBot="1" x14ac:dyDescent="0.3">
      <c r="A5" s="157"/>
      <c r="B5" s="157"/>
      <c r="C5" s="158"/>
      <c r="D5" s="158"/>
      <c r="E5" s="157"/>
      <c r="F5" s="157"/>
      <c r="G5" s="157"/>
      <c r="H5" s="157"/>
      <c r="I5" s="157"/>
      <c r="J5" s="157"/>
      <c r="K5" s="157"/>
      <c r="L5" s="157"/>
      <c r="M5" s="157"/>
      <c r="N5" s="157"/>
      <c r="O5" s="157"/>
      <c r="P5" s="157"/>
      <c r="Q5" s="157"/>
      <c r="R5" s="157"/>
      <c r="S5" s="157"/>
      <c r="T5" s="157"/>
      <c r="U5" s="157"/>
      <c r="V5" s="157"/>
      <c r="W5" s="157"/>
    </row>
    <row r="6" spans="1:23" ht="20.25" thickBot="1" x14ac:dyDescent="0.35">
      <c r="A6" s="157"/>
      <c r="B6" s="159"/>
      <c r="C6" s="160" t="s">
        <v>324</v>
      </c>
      <c r="D6" s="161" t="s">
        <v>325</v>
      </c>
      <c r="E6" s="162"/>
      <c r="F6" s="157"/>
      <c r="G6" s="157"/>
      <c r="H6" s="157"/>
      <c r="I6" s="157"/>
      <c r="J6" s="157"/>
      <c r="K6" s="157"/>
      <c r="L6" s="157"/>
      <c r="M6" s="157"/>
      <c r="N6" s="157"/>
      <c r="O6" s="157"/>
      <c r="P6" s="157"/>
    </row>
    <row r="7" spans="1:23" ht="19.5" x14ac:dyDescent="0.3">
      <c r="A7" s="157"/>
      <c r="B7" s="159"/>
      <c r="C7" s="163" t="s">
        <v>326</v>
      </c>
      <c r="D7" s="164" t="s">
        <v>346</v>
      </c>
      <c r="E7" s="162"/>
      <c r="F7" s="157"/>
      <c r="G7" s="157"/>
      <c r="H7" s="157"/>
      <c r="I7" s="157"/>
      <c r="J7" s="157"/>
      <c r="K7" s="157"/>
      <c r="L7" s="157"/>
      <c r="M7" s="157"/>
      <c r="N7" s="157"/>
      <c r="O7" s="157"/>
      <c r="P7" s="157"/>
    </row>
    <row r="8" spans="1:23" ht="19.5" x14ac:dyDescent="0.3">
      <c r="A8" s="157"/>
      <c r="B8" s="159"/>
      <c r="C8" s="165" t="s">
        <v>327</v>
      </c>
      <c r="D8" s="166" t="s">
        <v>328</v>
      </c>
      <c r="E8" s="162"/>
      <c r="F8" s="157"/>
      <c r="G8" s="157"/>
      <c r="H8" s="157"/>
      <c r="I8" s="157"/>
      <c r="J8" s="157"/>
      <c r="K8" s="157"/>
      <c r="L8" s="157"/>
      <c r="M8" s="157"/>
      <c r="N8" s="157"/>
      <c r="O8" s="157"/>
      <c r="P8" s="157"/>
    </row>
    <row r="9" spans="1:23" ht="21.75" customHeight="1" x14ac:dyDescent="0.3">
      <c r="A9" s="157"/>
      <c r="B9" s="159"/>
      <c r="C9" s="167" t="s">
        <v>329</v>
      </c>
      <c r="D9" s="166" t="s">
        <v>330</v>
      </c>
      <c r="E9" s="162"/>
      <c r="F9" s="157"/>
      <c r="G9" s="157"/>
      <c r="H9" s="157"/>
      <c r="I9" s="157"/>
      <c r="J9" s="157"/>
      <c r="K9" s="157"/>
      <c r="L9" s="157"/>
      <c r="M9" s="157"/>
      <c r="N9" s="157"/>
      <c r="O9" s="157"/>
      <c r="P9" s="157"/>
    </row>
    <row r="10" spans="1:23" ht="39" x14ac:dyDescent="0.3">
      <c r="A10" s="157"/>
      <c r="B10" s="159"/>
      <c r="C10" s="167" t="s">
        <v>331</v>
      </c>
      <c r="D10" s="168" t="s">
        <v>332</v>
      </c>
      <c r="E10" s="162"/>
      <c r="F10" s="157"/>
      <c r="G10" s="157"/>
      <c r="H10" s="157"/>
      <c r="I10" s="157"/>
      <c r="J10" s="157"/>
      <c r="K10" s="157"/>
      <c r="L10" s="157"/>
      <c r="M10" s="157"/>
      <c r="N10" s="157"/>
      <c r="O10" s="157"/>
      <c r="P10" s="157"/>
    </row>
    <row r="11" spans="1:23" ht="156" x14ac:dyDescent="0.3">
      <c r="A11" s="157"/>
      <c r="B11" s="159"/>
      <c r="C11" s="167" t="s">
        <v>333</v>
      </c>
      <c r="D11" s="169" t="s">
        <v>334</v>
      </c>
      <c r="E11" s="162"/>
      <c r="F11" s="157"/>
      <c r="G11" s="157"/>
      <c r="H11" s="157"/>
      <c r="I11" s="157"/>
      <c r="J11" s="157"/>
      <c r="K11" s="157"/>
      <c r="L11" s="157"/>
      <c r="M11" s="157"/>
      <c r="N11" s="157"/>
      <c r="O11" s="157"/>
      <c r="P11" s="157"/>
    </row>
    <row r="12" spans="1:23" ht="78" x14ac:dyDescent="0.3">
      <c r="A12" s="157"/>
      <c r="B12" s="159"/>
      <c r="C12" s="170" t="s">
        <v>335</v>
      </c>
      <c r="D12" s="171" t="s">
        <v>336</v>
      </c>
      <c r="E12" s="162"/>
      <c r="F12" s="157"/>
      <c r="G12" s="157"/>
      <c r="H12" s="157"/>
      <c r="I12" s="157"/>
      <c r="J12" s="157"/>
      <c r="K12" s="157"/>
      <c r="L12" s="157"/>
      <c r="M12" s="157"/>
      <c r="N12" s="157"/>
      <c r="O12" s="157"/>
      <c r="P12" s="157"/>
    </row>
    <row r="13" spans="1:23" ht="19.5" x14ac:dyDescent="0.3">
      <c r="A13" s="157"/>
      <c r="B13" s="159"/>
      <c r="C13" s="170" t="s">
        <v>337</v>
      </c>
      <c r="D13" s="172" t="s">
        <v>338</v>
      </c>
      <c r="E13" s="162"/>
      <c r="F13" s="157"/>
      <c r="G13" s="157"/>
      <c r="H13" s="157"/>
      <c r="I13" s="157"/>
      <c r="J13" s="157"/>
      <c r="K13" s="157"/>
      <c r="L13" s="157"/>
      <c r="M13" s="157"/>
      <c r="N13" s="157"/>
      <c r="O13" s="157"/>
      <c r="P13" s="157"/>
    </row>
    <row r="14" spans="1:23" ht="19.5" x14ac:dyDescent="0.3">
      <c r="A14" s="157"/>
      <c r="B14" s="159"/>
      <c r="C14" s="165" t="s">
        <v>339</v>
      </c>
      <c r="D14" s="173" t="s">
        <v>340</v>
      </c>
      <c r="E14" s="162"/>
      <c r="F14" s="157"/>
      <c r="G14" s="157"/>
      <c r="H14" s="157"/>
      <c r="I14" s="157"/>
      <c r="J14" s="157"/>
      <c r="K14" s="157"/>
      <c r="L14" s="157"/>
      <c r="M14" s="157"/>
      <c r="N14" s="157"/>
      <c r="O14" s="157"/>
      <c r="P14" s="157"/>
    </row>
    <row r="15" spans="1:23" ht="117" x14ac:dyDescent="0.3">
      <c r="A15" s="157"/>
      <c r="B15" s="159"/>
      <c r="C15" s="167" t="s">
        <v>341</v>
      </c>
      <c r="D15" s="174" t="s">
        <v>342</v>
      </c>
      <c r="E15" s="162"/>
      <c r="F15" s="157"/>
      <c r="G15" s="157"/>
      <c r="H15" s="157"/>
      <c r="I15" s="157"/>
      <c r="J15" s="157"/>
      <c r="K15" s="157"/>
      <c r="L15" s="157"/>
      <c r="M15" s="157"/>
      <c r="N15" s="157"/>
      <c r="O15" s="157"/>
      <c r="P15" s="157"/>
    </row>
    <row r="16" spans="1:23" ht="97.5" x14ac:dyDescent="0.3">
      <c r="A16" s="157"/>
      <c r="B16" s="159"/>
      <c r="C16" s="170" t="s">
        <v>343</v>
      </c>
      <c r="D16" s="168" t="s">
        <v>347</v>
      </c>
      <c r="E16" s="162"/>
      <c r="F16" s="157"/>
      <c r="G16" s="157"/>
      <c r="H16" s="157"/>
      <c r="I16" s="157"/>
      <c r="J16" s="157"/>
      <c r="K16" s="157"/>
      <c r="L16" s="157"/>
      <c r="M16" s="157"/>
      <c r="N16" s="157"/>
      <c r="O16" s="157"/>
      <c r="P16" s="157"/>
    </row>
    <row r="17" spans="1:16" ht="98.25" thickBot="1" x14ac:dyDescent="0.3">
      <c r="A17" s="157"/>
      <c r="B17" s="157"/>
      <c r="C17" s="175" t="s">
        <v>344</v>
      </c>
      <c r="D17" s="176" t="s">
        <v>345</v>
      </c>
      <c r="E17" s="177"/>
      <c r="F17" s="157"/>
      <c r="G17" s="157"/>
      <c r="H17" s="157"/>
      <c r="I17" s="157"/>
      <c r="J17" s="157"/>
      <c r="K17" s="157"/>
      <c r="L17" s="157"/>
      <c r="M17" s="157"/>
      <c r="N17" s="157"/>
      <c r="O17" s="157"/>
      <c r="P17" s="157"/>
    </row>
    <row r="18" spans="1:16" x14ac:dyDescent="0.25">
      <c r="A18" s="157"/>
      <c r="B18" s="157"/>
      <c r="C18" s="157"/>
      <c r="D18" s="157"/>
      <c r="E18" s="177"/>
      <c r="F18" s="157"/>
      <c r="G18" s="157"/>
      <c r="H18" s="157"/>
      <c r="I18" s="157"/>
      <c r="J18" s="157"/>
      <c r="K18" s="157"/>
      <c r="L18" s="157"/>
      <c r="M18" s="157"/>
      <c r="N18" s="157"/>
      <c r="O18" s="157"/>
      <c r="P18" s="157"/>
    </row>
    <row r="19" spans="1:16" x14ac:dyDescent="0.25">
      <c r="A19" s="157"/>
      <c r="B19" s="157"/>
      <c r="C19" s="157"/>
      <c r="D19" s="157"/>
      <c r="E19" s="177"/>
      <c r="F19" s="157"/>
      <c r="G19" s="157"/>
      <c r="H19" s="157"/>
      <c r="I19" s="157"/>
      <c r="J19" s="157"/>
      <c r="K19" s="157"/>
      <c r="L19" s="157"/>
      <c r="M19" s="157"/>
      <c r="N19" s="157"/>
      <c r="O19" s="157"/>
      <c r="P19" s="157"/>
    </row>
    <row r="20" spans="1:16" x14ac:dyDescent="0.25">
      <c r="A20" s="157"/>
      <c r="B20" s="157"/>
      <c r="C20" s="157"/>
      <c r="D20" s="157"/>
      <c r="E20" s="177"/>
      <c r="F20" s="157"/>
      <c r="G20" s="157"/>
      <c r="H20" s="157"/>
      <c r="I20" s="157"/>
      <c r="J20" s="157"/>
      <c r="K20" s="157"/>
      <c r="L20" s="157"/>
      <c r="M20" s="157"/>
      <c r="N20" s="157"/>
      <c r="O20" s="157"/>
      <c r="P20" s="157"/>
    </row>
    <row r="21" spans="1:16" x14ac:dyDescent="0.25">
      <c r="A21" s="157"/>
      <c r="B21" s="157"/>
      <c r="C21" s="157"/>
      <c r="D21" s="157"/>
      <c r="E21" s="177"/>
      <c r="F21" s="157"/>
      <c r="G21" s="157"/>
      <c r="H21" s="157"/>
      <c r="I21" s="157"/>
      <c r="J21" s="157"/>
      <c r="K21" s="157"/>
      <c r="L21" s="157"/>
      <c r="M21" s="157"/>
      <c r="N21" s="157"/>
      <c r="O21" s="157"/>
      <c r="P21" s="157"/>
    </row>
    <row r="22" spans="1:16" x14ac:dyDescent="0.25">
      <c r="A22" s="157"/>
      <c r="B22" s="157"/>
      <c r="C22" s="157"/>
      <c r="D22" s="157"/>
      <c r="E22" s="177"/>
      <c r="F22" s="157"/>
      <c r="G22" s="157"/>
      <c r="H22" s="157"/>
      <c r="I22" s="157"/>
      <c r="J22" s="157"/>
      <c r="K22" s="157"/>
      <c r="L22" s="157"/>
      <c r="M22" s="157"/>
      <c r="N22" s="157"/>
      <c r="O22" s="157"/>
      <c r="P22" s="157"/>
    </row>
    <row r="23" spans="1:16" x14ac:dyDescent="0.25">
      <c r="A23" s="157"/>
      <c r="B23" s="157"/>
      <c r="C23" s="157"/>
      <c r="D23" s="157"/>
      <c r="E23" s="177"/>
      <c r="F23" s="157"/>
      <c r="G23" s="157"/>
      <c r="H23" s="157"/>
      <c r="I23" s="157"/>
      <c r="J23" s="157"/>
      <c r="K23" s="157"/>
      <c r="L23" s="157"/>
      <c r="M23" s="157"/>
      <c r="N23" s="157"/>
      <c r="O23" s="157"/>
      <c r="P23" s="157"/>
    </row>
    <row r="24" spans="1:16" x14ac:dyDescent="0.25">
      <c r="A24" s="157"/>
      <c r="B24" s="157"/>
      <c r="C24" s="157"/>
      <c r="D24" s="157"/>
      <c r="E24" s="177"/>
      <c r="F24" s="157"/>
      <c r="G24" s="157"/>
      <c r="H24" s="157"/>
      <c r="I24" s="157"/>
      <c r="J24" s="157"/>
      <c r="K24" s="157"/>
      <c r="L24" s="157"/>
      <c r="M24" s="157"/>
      <c r="N24" s="157"/>
      <c r="O24" s="157"/>
      <c r="P24" s="157"/>
    </row>
    <row r="25" spans="1:16" x14ac:dyDescent="0.25">
      <c r="A25" s="157"/>
      <c r="B25" s="157"/>
      <c r="C25" s="157"/>
      <c r="D25" s="157"/>
      <c r="E25" s="177"/>
      <c r="F25" s="157"/>
      <c r="G25" s="157"/>
      <c r="H25" s="157"/>
      <c r="I25" s="157"/>
      <c r="J25" s="157"/>
      <c r="K25" s="157"/>
      <c r="L25" s="157"/>
      <c r="M25" s="157"/>
      <c r="N25" s="157"/>
      <c r="O25" s="157"/>
      <c r="P25" s="157"/>
    </row>
    <row r="26" spans="1:16" x14ac:dyDescent="0.25">
      <c r="A26" s="157"/>
      <c r="B26" s="157"/>
      <c r="C26" s="157"/>
      <c r="D26" s="157"/>
      <c r="E26" s="177"/>
      <c r="F26" s="157"/>
      <c r="G26" s="157"/>
      <c r="H26" s="157"/>
      <c r="I26" s="157"/>
      <c r="J26" s="157"/>
      <c r="K26" s="157"/>
      <c r="L26" s="157"/>
      <c r="M26" s="157"/>
      <c r="N26" s="157"/>
      <c r="O26" s="157"/>
      <c r="P26" s="157"/>
    </row>
    <row r="27" spans="1:16" x14ac:dyDescent="0.25">
      <c r="A27" s="157"/>
      <c r="B27" s="157"/>
      <c r="C27" s="157"/>
      <c r="D27" s="157"/>
      <c r="E27" s="177"/>
      <c r="F27" s="157"/>
      <c r="G27" s="157"/>
      <c r="H27" s="157"/>
      <c r="I27" s="157"/>
      <c r="J27" s="157"/>
      <c r="K27" s="157"/>
      <c r="L27" s="157"/>
      <c r="M27" s="157"/>
      <c r="N27" s="157"/>
      <c r="O27" s="157"/>
      <c r="P27" s="157"/>
    </row>
    <row r="28" spans="1:16" x14ac:dyDescent="0.25">
      <c r="A28" s="157"/>
      <c r="B28" s="157"/>
      <c r="C28" s="157"/>
      <c r="D28" s="157"/>
      <c r="E28" s="177"/>
      <c r="F28" s="157"/>
      <c r="G28" s="157"/>
      <c r="H28" s="157"/>
      <c r="I28" s="157"/>
      <c r="J28" s="157"/>
      <c r="K28" s="157"/>
      <c r="L28" s="157"/>
      <c r="M28" s="157"/>
      <c r="N28" s="157"/>
      <c r="O28" s="157"/>
      <c r="P28" s="157"/>
    </row>
    <row r="29" spans="1:16" x14ac:dyDescent="0.25">
      <c r="A29" s="157"/>
      <c r="B29" s="157"/>
      <c r="C29" s="157"/>
      <c r="D29" s="157"/>
      <c r="E29" s="177"/>
      <c r="F29" s="157"/>
      <c r="G29" s="157"/>
      <c r="H29" s="157"/>
      <c r="I29" s="157"/>
      <c r="J29" s="157"/>
      <c r="K29" s="157"/>
      <c r="L29" s="157"/>
      <c r="M29" s="157"/>
      <c r="N29" s="157"/>
      <c r="O29" s="157"/>
      <c r="P29" s="157"/>
    </row>
    <row r="30" spans="1:16" x14ac:dyDescent="0.25">
      <c r="A30" s="157"/>
      <c r="B30" s="157"/>
      <c r="C30" s="157"/>
      <c r="D30" s="157"/>
      <c r="E30" s="177"/>
      <c r="F30" s="157"/>
      <c r="G30" s="157"/>
      <c r="H30" s="157"/>
      <c r="I30" s="157"/>
      <c r="J30" s="157"/>
      <c r="K30" s="157"/>
      <c r="L30" s="157"/>
      <c r="M30" s="157"/>
      <c r="N30" s="157"/>
      <c r="O30" s="157"/>
      <c r="P30" s="157"/>
    </row>
    <row r="31" spans="1:16" x14ac:dyDescent="0.25">
      <c r="A31" s="157"/>
      <c r="B31" s="157"/>
      <c r="C31" s="157"/>
      <c r="D31" s="157"/>
      <c r="E31" s="177"/>
      <c r="F31" s="157"/>
      <c r="G31" s="157"/>
      <c r="H31" s="157"/>
      <c r="I31" s="157"/>
      <c r="J31" s="157"/>
      <c r="K31" s="157"/>
      <c r="L31" s="157"/>
      <c r="M31" s="157"/>
      <c r="N31" s="157"/>
      <c r="O31" s="157"/>
      <c r="P31" s="157"/>
    </row>
    <row r="32" spans="1:16" x14ac:dyDescent="0.25">
      <c r="A32" s="157"/>
      <c r="B32" s="157"/>
      <c r="C32" s="157"/>
      <c r="D32" s="157"/>
      <c r="E32" s="177"/>
      <c r="F32" s="157"/>
      <c r="G32" s="157"/>
      <c r="H32" s="157"/>
      <c r="I32" s="157"/>
      <c r="J32" s="157"/>
      <c r="K32" s="157"/>
      <c r="L32" s="157"/>
      <c r="M32" s="157"/>
      <c r="N32" s="157"/>
      <c r="O32" s="157"/>
      <c r="P32" s="157"/>
    </row>
    <row r="33" spans="1:16" x14ac:dyDescent="0.25">
      <c r="A33" s="157"/>
      <c r="B33" s="157"/>
      <c r="C33" s="157"/>
      <c r="D33" s="157"/>
      <c r="E33" s="177"/>
      <c r="F33" s="157"/>
      <c r="G33" s="157"/>
      <c r="H33" s="157"/>
      <c r="I33" s="157"/>
      <c r="J33" s="157"/>
      <c r="K33" s="157"/>
      <c r="L33" s="157"/>
      <c r="M33" s="157"/>
      <c r="N33" s="157"/>
      <c r="O33" s="157"/>
      <c r="P33" s="157"/>
    </row>
    <row r="34" spans="1:16" x14ac:dyDescent="0.25">
      <c r="A34" s="157"/>
      <c r="B34" s="157"/>
      <c r="C34" s="157"/>
      <c r="D34" s="157"/>
      <c r="E34" s="177"/>
      <c r="F34" s="157"/>
      <c r="G34" s="157"/>
      <c r="H34" s="157"/>
      <c r="I34" s="157"/>
      <c r="J34" s="157"/>
      <c r="K34" s="157"/>
      <c r="L34" s="157"/>
      <c r="M34" s="157"/>
      <c r="N34" s="157"/>
      <c r="O34" s="157"/>
      <c r="P34" s="157"/>
    </row>
    <row r="35" spans="1:16" x14ac:dyDescent="0.25">
      <c r="A35" s="157"/>
      <c r="B35" s="157"/>
      <c r="C35" s="157"/>
      <c r="D35" s="157"/>
      <c r="E35" s="177"/>
      <c r="F35" s="157"/>
      <c r="G35" s="157"/>
      <c r="H35" s="157"/>
      <c r="I35" s="157"/>
      <c r="J35" s="157"/>
      <c r="K35" s="157"/>
      <c r="L35" s="157"/>
      <c r="M35" s="157"/>
      <c r="N35" s="157"/>
      <c r="O35" s="157"/>
      <c r="P35" s="157"/>
    </row>
    <row r="36" spans="1:16" x14ac:dyDescent="0.25">
      <c r="A36" s="157"/>
      <c r="B36" s="157"/>
      <c r="C36" s="157"/>
      <c r="D36" s="157"/>
      <c r="E36" s="177"/>
      <c r="F36" s="157"/>
      <c r="G36" s="157"/>
      <c r="H36" s="157"/>
      <c r="I36" s="157"/>
      <c r="J36" s="157"/>
      <c r="K36" s="157"/>
      <c r="L36" s="157"/>
      <c r="M36" s="157"/>
      <c r="N36" s="157"/>
      <c r="O36" s="157"/>
      <c r="P36" s="157"/>
    </row>
    <row r="37" spans="1:16" x14ac:dyDescent="0.25">
      <c r="A37" s="157"/>
      <c r="B37" s="157"/>
      <c r="C37" s="157"/>
      <c r="D37" s="157"/>
      <c r="E37" s="177"/>
      <c r="F37" s="157"/>
      <c r="G37" s="157"/>
      <c r="H37" s="157"/>
      <c r="I37" s="157"/>
      <c r="J37" s="157"/>
      <c r="K37" s="157"/>
      <c r="L37" s="157"/>
      <c r="M37" s="157"/>
      <c r="N37" s="157"/>
      <c r="O37" s="157"/>
      <c r="P37" s="157"/>
    </row>
    <row r="38" spans="1:16" x14ac:dyDescent="0.25">
      <c r="A38" s="157"/>
      <c r="B38" s="157"/>
      <c r="C38" s="157"/>
      <c r="D38" s="157"/>
      <c r="E38" s="177"/>
      <c r="F38" s="157"/>
      <c r="G38" s="157"/>
      <c r="H38" s="157"/>
      <c r="I38" s="157"/>
      <c r="J38" s="157"/>
      <c r="K38" s="157"/>
      <c r="L38" s="157"/>
      <c r="M38" s="157"/>
      <c r="N38" s="157"/>
      <c r="O38" s="157"/>
      <c r="P38" s="157"/>
    </row>
    <row r="39" spans="1:16" x14ac:dyDescent="0.25">
      <c r="A39" s="157"/>
      <c r="B39" s="157"/>
      <c r="C39" s="157"/>
      <c r="D39" s="157"/>
      <c r="E39" s="177"/>
      <c r="F39" s="157"/>
      <c r="G39" s="157"/>
      <c r="H39" s="157"/>
      <c r="I39" s="157"/>
      <c r="J39" s="157"/>
      <c r="K39" s="157"/>
      <c r="L39" s="157"/>
      <c r="M39" s="157"/>
      <c r="N39" s="157"/>
      <c r="O39" s="157"/>
      <c r="P39" s="157"/>
    </row>
    <row r="40" spans="1:16" x14ac:dyDescent="0.25">
      <c r="A40" s="157"/>
      <c r="B40" s="157"/>
      <c r="C40" s="157"/>
      <c r="D40" s="157"/>
      <c r="E40" s="177"/>
      <c r="F40" s="157"/>
      <c r="G40" s="157"/>
      <c r="H40" s="157"/>
      <c r="I40" s="157"/>
      <c r="J40" s="157"/>
      <c r="K40" s="157"/>
      <c r="L40" s="157"/>
      <c r="M40" s="157"/>
      <c r="N40" s="157"/>
      <c r="O40" s="157"/>
      <c r="P40" s="157"/>
    </row>
    <row r="41" spans="1:16" x14ac:dyDescent="0.25">
      <c r="A41" s="157"/>
      <c r="B41" s="157"/>
      <c r="C41" s="157"/>
      <c r="D41" s="157"/>
      <c r="E41" s="177"/>
      <c r="F41" s="157"/>
      <c r="G41" s="157"/>
      <c r="H41" s="157"/>
      <c r="I41" s="157"/>
      <c r="J41" s="157"/>
      <c r="K41" s="157"/>
      <c r="L41" s="157"/>
      <c r="M41" s="157"/>
      <c r="N41" s="157"/>
      <c r="O41" s="157"/>
      <c r="P41" s="157"/>
    </row>
    <row r="42" spans="1:16" x14ac:dyDescent="0.25">
      <c r="A42" s="157"/>
      <c r="B42" s="157"/>
      <c r="C42" s="157"/>
      <c r="D42" s="157"/>
      <c r="E42" s="177"/>
      <c r="F42" s="157"/>
      <c r="G42" s="157"/>
      <c r="H42" s="157"/>
      <c r="I42" s="157"/>
      <c r="J42" s="157"/>
      <c r="K42" s="157"/>
      <c r="L42" s="157"/>
      <c r="M42" s="157"/>
      <c r="N42" s="157"/>
      <c r="O42" s="157"/>
      <c r="P42" s="157"/>
    </row>
    <row r="43" spans="1:16" x14ac:dyDescent="0.25">
      <c r="A43" s="157"/>
      <c r="B43" s="157"/>
      <c r="C43" s="157"/>
      <c r="D43" s="157"/>
      <c r="E43" s="177"/>
      <c r="F43" s="157"/>
      <c r="G43" s="157"/>
      <c r="H43" s="157"/>
      <c r="I43" s="157"/>
      <c r="J43" s="157"/>
      <c r="K43" s="157"/>
      <c r="L43" s="157"/>
      <c r="M43" s="157"/>
      <c r="N43" s="157"/>
      <c r="O43" s="157"/>
      <c r="P43" s="157"/>
    </row>
    <row r="44" spans="1:16" x14ac:dyDescent="0.25">
      <c r="A44" s="157"/>
      <c r="B44" s="157"/>
      <c r="C44" s="157"/>
      <c r="D44" s="157"/>
      <c r="E44" s="177"/>
      <c r="F44" s="157"/>
      <c r="G44" s="157"/>
      <c r="H44" s="157"/>
      <c r="I44" s="157"/>
      <c r="J44" s="157"/>
      <c r="K44" s="157"/>
      <c r="L44" s="157"/>
      <c r="M44" s="157"/>
      <c r="N44" s="157"/>
      <c r="O44" s="157"/>
      <c r="P44" s="157"/>
    </row>
    <row r="45" spans="1:16" x14ac:dyDescent="0.25">
      <c r="A45" s="157"/>
      <c r="B45" s="157"/>
      <c r="C45" s="157"/>
      <c r="D45" s="157"/>
      <c r="E45" s="177"/>
      <c r="F45" s="157"/>
      <c r="G45" s="157"/>
      <c r="H45" s="157"/>
      <c r="I45" s="157"/>
      <c r="J45" s="157"/>
      <c r="K45" s="157"/>
      <c r="L45" s="157"/>
      <c r="M45" s="157"/>
      <c r="N45" s="157"/>
      <c r="O45" s="157"/>
      <c r="P45" s="157"/>
    </row>
    <row r="46" spans="1:16" x14ac:dyDescent="0.25">
      <c r="A46" s="157"/>
      <c r="B46" s="157"/>
      <c r="C46" s="157"/>
      <c r="D46" s="157"/>
      <c r="E46" s="177"/>
      <c r="F46" s="157"/>
      <c r="G46" s="157"/>
      <c r="H46" s="157"/>
      <c r="I46" s="157"/>
      <c r="J46" s="157"/>
      <c r="K46" s="157"/>
      <c r="L46" s="157"/>
      <c r="M46" s="157"/>
      <c r="N46" s="157"/>
      <c r="O46" s="157"/>
      <c r="P46" s="157"/>
    </row>
    <row r="47" spans="1:16" x14ac:dyDescent="0.25">
      <c r="A47" s="157"/>
      <c r="B47" s="157"/>
      <c r="C47" s="157"/>
      <c r="D47" s="157"/>
      <c r="E47" s="177"/>
      <c r="F47" s="157"/>
      <c r="G47" s="157"/>
      <c r="H47" s="157"/>
      <c r="I47" s="157"/>
      <c r="J47" s="157"/>
      <c r="K47" s="157"/>
      <c r="L47" s="157"/>
      <c r="M47" s="157"/>
      <c r="N47" s="157"/>
      <c r="O47" s="157"/>
      <c r="P47" s="157"/>
    </row>
    <row r="48" spans="1:16" x14ac:dyDescent="0.25">
      <c r="A48" s="157"/>
      <c r="B48" s="157"/>
      <c r="C48" s="157"/>
      <c r="D48" s="157"/>
      <c r="E48" s="177"/>
      <c r="F48" s="157"/>
      <c r="G48" s="157"/>
      <c r="H48" s="157"/>
      <c r="I48" s="157"/>
      <c r="J48" s="157"/>
      <c r="K48" s="157"/>
      <c r="L48" s="157"/>
      <c r="M48" s="157"/>
      <c r="N48" s="157"/>
      <c r="O48" s="157"/>
      <c r="P48" s="157"/>
    </row>
    <row r="49" spans="1:16" x14ac:dyDescent="0.25">
      <c r="A49" s="157"/>
      <c r="B49" s="157"/>
      <c r="C49" s="157"/>
      <c r="D49" s="157"/>
      <c r="E49" s="177"/>
      <c r="F49" s="157"/>
      <c r="G49" s="157"/>
      <c r="H49" s="157"/>
      <c r="I49" s="157"/>
      <c r="J49" s="157"/>
      <c r="K49" s="157"/>
      <c r="L49" s="157"/>
      <c r="M49" s="157"/>
      <c r="N49" s="157"/>
      <c r="O49" s="157"/>
      <c r="P49" s="157"/>
    </row>
    <row r="50" spans="1:16" x14ac:dyDescent="0.25">
      <c r="A50" s="157"/>
      <c r="B50" s="157"/>
      <c r="C50" s="157"/>
      <c r="D50" s="157"/>
      <c r="E50" s="177"/>
      <c r="F50" s="157"/>
      <c r="G50" s="157"/>
      <c r="H50" s="157"/>
      <c r="I50" s="157"/>
      <c r="J50" s="157"/>
      <c r="K50" s="157"/>
      <c r="L50" s="157"/>
      <c r="M50" s="157"/>
      <c r="N50" s="157"/>
      <c r="O50" s="157"/>
      <c r="P50" s="157"/>
    </row>
    <row r="51" spans="1:16" x14ac:dyDescent="0.25">
      <c r="A51" s="157"/>
      <c r="B51" s="157"/>
      <c r="C51" s="157"/>
      <c r="D51" s="157"/>
      <c r="E51" s="177"/>
      <c r="F51" s="157"/>
      <c r="G51" s="157"/>
      <c r="H51" s="157"/>
      <c r="I51" s="157"/>
      <c r="J51" s="157"/>
      <c r="K51" s="157"/>
      <c r="L51" s="157"/>
      <c r="M51" s="157"/>
      <c r="N51" s="157"/>
      <c r="O51" s="157"/>
      <c r="P51" s="157"/>
    </row>
    <row r="52" spans="1:16" x14ac:dyDescent="0.25">
      <c r="A52" s="157"/>
      <c r="B52" s="157"/>
      <c r="C52" s="157"/>
      <c r="D52" s="157"/>
      <c r="E52" s="177"/>
      <c r="F52" s="157"/>
      <c r="G52" s="157"/>
      <c r="H52" s="157"/>
      <c r="I52" s="157"/>
      <c r="J52" s="157"/>
      <c r="K52" s="157"/>
      <c r="L52" s="157"/>
      <c r="M52" s="157"/>
      <c r="N52" s="157"/>
      <c r="O52" s="157"/>
      <c r="P52" s="157"/>
    </row>
    <row r="53" spans="1:16" x14ac:dyDescent="0.25">
      <c r="A53" s="157"/>
      <c r="B53" s="157"/>
      <c r="C53" s="157"/>
      <c r="D53" s="157"/>
      <c r="E53" s="177"/>
      <c r="F53" s="157"/>
      <c r="G53" s="157"/>
      <c r="H53" s="157"/>
      <c r="I53" s="157"/>
      <c r="J53" s="157"/>
      <c r="K53" s="157"/>
      <c r="L53" s="157"/>
      <c r="M53" s="157"/>
      <c r="N53" s="157"/>
      <c r="O53" s="157"/>
      <c r="P53" s="157"/>
    </row>
    <row r="54" spans="1:16" x14ac:dyDescent="0.25">
      <c r="A54" s="157"/>
      <c r="B54" s="157"/>
      <c r="C54" s="157"/>
      <c r="D54" s="157"/>
      <c r="E54" s="177"/>
      <c r="F54" s="157"/>
      <c r="G54" s="157"/>
      <c r="H54" s="157"/>
      <c r="I54" s="157"/>
      <c r="J54" s="157"/>
      <c r="K54" s="157"/>
      <c r="L54" s="157"/>
      <c r="M54" s="157"/>
      <c r="N54" s="157"/>
      <c r="O54" s="157"/>
      <c r="P54" s="157"/>
    </row>
    <row r="55" spans="1:16" x14ac:dyDescent="0.25">
      <c r="A55" s="157"/>
      <c r="B55" s="157"/>
      <c r="C55" s="157"/>
      <c r="D55" s="157"/>
      <c r="E55" s="177"/>
      <c r="F55" s="157"/>
      <c r="G55" s="157"/>
      <c r="H55" s="157"/>
      <c r="I55" s="157"/>
      <c r="J55" s="157"/>
      <c r="K55" s="157"/>
      <c r="L55" s="157"/>
      <c r="M55" s="157"/>
      <c r="N55" s="157"/>
      <c r="O55" s="157"/>
      <c r="P55" s="157"/>
    </row>
    <row r="56" spans="1:16" x14ac:dyDescent="0.25">
      <c r="A56" s="157"/>
      <c r="B56" s="157"/>
      <c r="C56" s="157"/>
      <c r="D56" s="157"/>
      <c r="E56" s="177"/>
      <c r="F56" s="157"/>
      <c r="G56" s="157"/>
      <c r="H56" s="157"/>
      <c r="I56" s="157"/>
      <c r="J56" s="157"/>
      <c r="K56" s="157"/>
      <c r="L56" s="157"/>
      <c r="M56" s="157"/>
      <c r="N56" s="157"/>
      <c r="O56" s="157"/>
      <c r="P56" s="157"/>
    </row>
    <row r="57" spans="1:16" x14ac:dyDescent="0.25">
      <c r="A57" s="157"/>
      <c r="B57" s="157"/>
      <c r="C57" s="157"/>
      <c r="D57" s="157"/>
      <c r="E57" s="177"/>
      <c r="F57" s="157"/>
      <c r="G57" s="157"/>
      <c r="H57" s="157"/>
      <c r="I57" s="157"/>
      <c r="J57" s="157"/>
      <c r="K57" s="157"/>
      <c r="L57" s="157"/>
      <c r="M57" s="157"/>
      <c r="N57" s="157"/>
      <c r="O57" s="157"/>
      <c r="P57" s="157"/>
    </row>
    <row r="58" spans="1:16" x14ac:dyDescent="0.25">
      <c r="A58" s="157"/>
      <c r="B58" s="157"/>
      <c r="C58" s="157"/>
      <c r="D58" s="157"/>
      <c r="E58" s="177"/>
      <c r="F58" s="157"/>
      <c r="G58" s="157"/>
      <c r="H58" s="157"/>
      <c r="I58" s="157"/>
      <c r="J58" s="157"/>
      <c r="K58" s="157"/>
      <c r="L58" s="157"/>
      <c r="M58" s="157"/>
      <c r="N58" s="157"/>
      <c r="O58" s="157"/>
      <c r="P58" s="157"/>
    </row>
    <row r="59" spans="1:16" x14ac:dyDescent="0.25">
      <c r="A59" s="157"/>
      <c r="B59" s="157"/>
      <c r="C59" s="157"/>
      <c r="D59" s="157"/>
    </row>
    <row r="60" spans="1:16" x14ac:dyDescent="0.25">
      <c r="A60" s="157"/>
      <c r="B60" s="157"/>
      <c r="C60" s="157"/>
      <c r="D60" s="157"/>
    </row>
    <row r="61" spans="1:16" x14ac:dyDescent="0.25">
      <c r="A61" s="157"/>
      <c r="B61" s="157"/>
      <c r="C61" s="157"/>
      <c r="D61" s="157"/>
    </row>
    <row r="62" spans="1:16" x14ac:dyDescent="0.25">
      <c r="A62" s="157"/>
      <c r="B62" s="157"/>
      <c r="C62" s="157"/>
      <c r="D62" s="157"/>
    </row>
    <row r="63" spans="1:16" x14ac:dyDescent="0.25">
      <c r="A63" s="157"/>
      <c r="B63" s="157"/>
      <c r="C63" s="157"/>
      <c r="D63" s="157"/>
    </row>
    <row r="64" spans="1:16" x14ac:dyDescent="0.25">
      <c r="A64" s="157"/>
      <c r="B64" s="157"/>
      <c r="C64" s="157"/>
      <c r="D64" s="157"/>
    </row>
    <row r="65" spans="1:4" x14ac:dyDescent="0.25">
      <c r="A65" s="157"/>
      <c r="B65" s="157"/>
      <c r="C65" s="157"/>
      <c r="D65" s="157"/>
    </row>
    <row r="66" spans="1:4" x14ac:dyDescent="0.25">
      <c r="A66" s="157"/>
      <c r="B66" s="157"/>
      <c r="C66" s="157"/>
      <c r="D66" s="157"/>
    </row>
    <row r="67" spans="1:4" x14ac:dyDescent="0.25">
      <c r="A67" s="157"/>
      <c r="B67" s="157"/>
      <c r="C67" s="157"/>
      <c r="D67" s="157"/>
    </row>
    <row r="68" spans="1:4" x14ac:dyDescent="0.25">
      <c r="A68" s="157"/>
      <c r="B68" s="157"/>
      <c r="C68" s="157"/>
      <c r="D68" s="157"/>
    </row>
    <row r="69" spans="1:4" x14ac:dyDescent="0.25">
      <c r="A69" s="157"/>
      <c r="B69" s="157"/>
      <c r="C69" s="157"/>
      <c r="D69" s="157"/>
    </row>
    <row r="70" spans="1:4" x14ac:dyDescent="0.25">
      <c r="A70" s="157"/>
      <c r="B70" s="157"/>
      <c r="C70" s="157"/>
      <c r="D70" s="157"/>
    </row>
    <row r="71" spans="1:4" x14ac:dyDescent="0.25">
      <c r="A71" s="157"/>
      <c r="B71" s="157"/>
      <c r="C71" s="157"/>
      <c r="D71" s="157"/>
    </row>
    <row r="72" spans="1:4" x14ac:dyDescent="0.25">
      <c r="A72" s="157"/>
      <c r="B72" s="157"/>
      <c r="C72" s="157"/>
      <c r="D72" s="157"/>
    </row>
    <row r="73" spans="1:4" x14ac:dyDescent="0.25">
      <c r="A73" s="157"/>
      <c r="B73" s="157"/>
      <c r="C73" s="157"/>
      <c r="D73" s="157"/>
    </row>
    <row r="74" spans="1:4" x14ac:dyDescent="0.25">
      <c r="A74" s="157"/>
      <c r="B74" s="157"/>
      <c r="C74" s="157"/>
      <c r="D74" s="157"/>
    </row>
    <row r="75" spans="1:4" x14ac:dyDescent="0.25">
      <c r="A75" s="157"/>
      <c r="B75" s="157"/>
      <c r="C75" s="157"/>
      <c r="D75" s="157"/>
    </row>
    <row r="76" spans="1:4" x14ac:dyDescent="0.25">
      <c r="A76" s="157"/>
      <c r="B76" s="157"/>
      <c r="C76" s="157"/>
      <c r="D76" s="157"/>
    </row>
    <row r="77" spans="1:4" x14ac:dyDescent="0.25">
      <c r="A77" s="157"/>
      <c r="B77" s="157"/>
      <c r="C77" s="157"/>
      <c r="D77" s="157"/>
    </row>
    <row r="78" spans="1:4" x14ac:dyDescent="0.25">
      <c r="A78" s="157"/>
      <c r="B78" s="157"/>
      <c r="C78" s="157"/>
      <c r="D78" s="157"/>
    </row>
    <row r="79" spans="1:4" x14ac:dyDescent="0.25">
      <c r="A79" s="157"/>
      <c r="B79" s="157"/>
      <c r="C79" s="157"/>
      <c r="D79" s="157"/>
    </row>
    <row r="80" spans="1:4" x14ac:dyDescent="0.25">
      <c r="A80" s="157"/>
      <c r="B80" s="157"/>
      <c r="C80" s="157"/>
      <c r="D80" s="157"/>
    </row>
    <row r="81" spans="1:2" x14ac:dyDescent="0.25">
      <c r="A81" s="157"/>
      <c r="B81" s="157"/>
    </row>
    <row r="82" spans="1:2" x14ac:dyDescent="0.25">
      <c r="A82" s="157"/>
      <c r="B82" s="157"/>
    </row>
    <row r="83" spans="1:2" x14ac:dyDescent="0.25">
      <c r="A83" s="157"/>
      <c r="B83" s="157"/>
    </row>
    <row r="84" spans="1:2" x14ac:dyDescent="0.25">
      <c r="A84" s="157"/>
      <c r="B84" s="157"/>
    </row>
    <row r="85" spans="1:2" x14ac:dyDescent="0.25">
      <c r="A85" s="157"/>
      <c r="B85" s="157"/>
    </row>
    <row r="86" spans="1:2" x14ac:dyDescent="0.25">
      <c r="A86" s="157"/>
      <c r="B86" s="157"/>
    </row>
    <row r="87" spans="1:2" x14ac:dyDescent="0.25">
      <c r="A87" s="157"/>
      <c r="B87" s="157"/>
    </row>
    <row r="88" spans="1:2" x14ac:dyDescent="0.25">
      <c r="A88" s="157"/>
      <c r="B88" s="157"/>
    </row>
    <row r="89" spans="1:2" x14ac:dyDescent="0.25">
      <c r="A89" s="157"/>
      <c r="B89" s="157"/>
    </row>
    <row r="90" spans="1:2" x14ac:dyDescent="0.25">
      <c r="A90" s="157"/>
      <c r="B90" s="157"/>
    </row>
    <row r="91" spans="1:2" x14ac:dyDescent="0.25">
      <c r="A91" s="157"/>
      <c r="B91" s="157"/>
    </row>
    <row r="92" spans="1:2" x14ac:dyDescent="0.25">
      <c r="A92" s="157"/>
      <c r="B92" s="157"/>
    </row>
    <row r="93" spans="1:2" x14ac:dyDescent="0.25">
      <c r="A93" s="157"/>
      <c r="B93" s="157"/>
    </row>
  </sheetData>
  <hyperlinks>
    <hyperlink ref="D14" r:id="rId1" display="info@ghgplatform-india.org" xr:uid="{00000000-0004-0000-0000-000000000000}"/>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00"/>
  <sheetViews>
    <sheetView zoomScale="58" zoomScaleNormal="58" workbookViewId="0">
      <selection activeCell="M21" sqref="M21"/>
    </sheetView>
  </sheetViews>
  <sheetFormatPr defaultColWidth="11.42578125" defaultRowHeight="15" x14ac:dyDescent="0.25"/>
  <cols>
    <col min="1" max="1" width="11.42578125" style="18" customWidth="1"/>
    <col min="2" max="2" width="46.42578125" style="7" customWidth="1"/>
    <col min="3" max="16384" width="11.42578125" style="7"/>
  </cols>
  <sheetData>
    <row r="1" spans="1:8" ht="45" x14ac:dyDescent="0.25">
      <c r="A1" s="208" t="s">
        <v>319</v>
      </c>
      <c r="B1" s="209"/>
      <c r="C1" s="73" t="s">
        <v>210</v>
      </c>
      <c r="D1" s="73" t="s">
        <v>240</v>
      </c>
      <c r="E1" s="73" t="s">
        <v>241</v>
      </c>
      <c r="F1" s="73" t="s">
        <v>211</v>
      </c>
      <c r="G1" s="73" t="s">
        <v>242</v>
      </c>
      <c r="H1" s="73" t="s">
        <v>243</v>
      </c>
    </row>
    <row r="2" spans="1:8" x14ac:dyDescent="0.25">
      <c r="A2" s="75" t="s">
        <v>191</v>
      </c>
      <c r="B2" s="76" t="s">
        <v>2</v>
      </c>
      <c r="C2" s="178" t="s">
        <v>244</v>
      </c>
      <c r="D2" s="178"/>
      <c r="E2" s="178"/>
      <c r="F2" s="178"/>
      <c r="G2" s="178"/>
      <c r="H2" s="178"/>
    </row>
    <row r="3" spans="1:8" x14ac:dyDescent="0.25">
      <c r="A3" s="78" t="s">
        <v>184</v>
      </c>
      <c r="B3" s="79" t="s">
        <v>183</v>
      </c>
      <c r="C3" s="210"/>
      <c r="D3" s="211"/>
      <c r="E3" s="211"/>
      <c r="F3" s="211"/>
      <c r="G3" s="211"/>
      <c r="H3" s="212"/>
    </row>
    <row r="4" spans="1:8" ht="30" x14ac:dyDescent="0.25">
      <c r="A4" s="150" t="s">
        <v>181</v>
      </c>
      <c r="B4" s="55" t="s">
        <v>182</v>
      </c>
      <c r="C4" s="219" t="s">
        <v>257</v>
      </c>
      <c r="D4" s="219"/>
      <c r="E4" s="219"/>
      <c r="F4" s="219"/>
      <c r="G4" s="219"/>
      <c r="H4" s="219"/>
    </row>
    <row r="5" spans="1:8" ht="15" customHeight="1" x14ac:dyDescent="0.25">
      <c r="A5" s="150" t="s">
        <v>5</v>
      </c>
      <c r="B5" s="55" t="s">
        <v>23</v>
      </c>
      <c r="C5" s="217" t="s">
        <v>245</v>
      </c>
      <c r="D5" s="217"/>
      <c r="E5" s="217"/>
      <c r="F5" s="217"/>
      <c r="G5" s="217"/>
      <c r="H5" s="217"/>
    </row>
    <row r="6" spans="1:8" ht="30" x14ac:dyDescent="0.25">
      <c r="A6" s="150" t="s">
        <v>6</v>
      </c>
      <c r="B6" s="55" t="s">
        <v>24</v>
      </c>
      <c r="C6" s="217"/>
      <c r="D6" s="217"/>
      <c r="E6" s="217"/>
      <c r="F6" s="217"/>
      <c r="G6" s="217"/>
      <c r="H6" s="217"/>
    </row>
    <row r="7" spans="1:8" x14ac:dyDescent="0.25">
      <c r="A7" s="151" t="s">
        <v>7</v>
      </c>
      <c r="B7" s="55" t="s">
        <v>25</v>
      </c>
      <c r="C7" s="217"/>
      <c r="D7" s="217"/>
      <c r="E7" s="217"/>
      <c r="F7" s="217"/>
      <c r="G7" s="217"/>
      <c r="H7" s="217"/>
    </row>
    <row r="8" spans="1:8" x14ac:dyDescent="0.25">
      <c r="A8" s="151" t="s">
        <v>8</v>
      </c>
      <c r="B8" s="55" t="s">
        <v>26</v>
      </c>
      <c r="C8" s="220" t="s">
        <v>246</v>
      </c>
      <c r="D8" s="220"/>
      <c r="E8" s="220"/>
      <c r="F8" s="220"/>
      <c r="G8" s="220"/>
      <c r="H8" s="220"/>
    </row>
    <row r="9" spans="1:8" x14ac:dyDescent="0.25">
      <c r="A9" s="78" t="s">
        <v>12</v>
      </c>
      <c r="B9" s="84" t="s">
        <v>0</v>
      </c>
      <c r="C9" s="210"/>
      <c r="D9" s="211"/>
      <c r="E9" s="211"/>
      <c r="F9" s="211"/>
      <c r="G9" s="211"/>
      <c r="H9" s="212"/>
    </row>
    <row r="10" spans="1:8" ht="15" customHeight="1" x14ac:dyDescent="0.25">
      <c r="A10" s="150" t="s">
        <v>9</v>
      </c>
      <c r="B10" s="55" t="s">
        <v>27</v>
      </c>
      <c r="C10" s="217" t="s">
        <v>245</v>
      </c>
      <c r="D10" s="217"/>
      <c r="E10" s="217"/>
      <c r="F10" s="217"/>
      <c r="G10" s="217"/>
      <c r="H10" s="217"/>
    </row>
    <row r="11" spans="1:8" x14ac:dyDescent="0.25">
      <c r="A11" s="150" t="s">
        <v>10</v>
      </c>
      <c r="B11" s="55" t="s">
        <v>28</v>
      </c>
      <c r="C11" s="217"/>
      <c r="D11" s="217"/>
      <c r="E11" s="217"/>
      <c r="F11" s="217"/>
      <c r="G11" s="217"/>
      <c r="H11" s="217"/>
    </row>
    <row r="12" spans="1:8" x14ac:dyDescent="0.25">
      <c r="A12" s="152" t="s">
        <v>11</v>
      </c>
      <c r="B12" s="58" t="s">
        <v>29</v>
      </c>
      <c r="C12" s="217"/>
      <c r="D12" s="217"/>
      <c r="E12" s="217"/>
      <c r="F12" s="217"/>
      <c r="G12" s="217"/>
      <c r="H12" s="217"/>
    </row>
    <row r="13" spans="1:8" x14ac:dyDescent="0.25">
      <c r="A13" s="150" t="s">
        <v>13</v>
      </c>
      <c r="B13" s="55" t="s">
        <v>30</v>
      </c>
      <c r="C13" s="217"/>
      <c r="D13" s="217"/>
      <c r="E13" s="217"/>
      <c r="F13" s="217"/>
      <c r="G13" s="217"/>
      <c r="H13" s="217"/>
    </row>
    <row r="14" spans="1:8" x14ac:dyDescent="0.25">
      <c r="A14" s="150" t="s">
        <v>14</v>
      </c>
      <c r="B14" s="55" t="s">
        <v>31</v>
      </c>
      <c r="C14" s="217"/>
      <c r="D14" s="217"/>
      <c r="E14" s="217"/>
      <c r="F14" s="217"/>
      <c r="G14" s="217"/>
      <c r="H14" s="217"/>
    </row>
    <row r="15" spans="1:8" x14ac:dyDescent="0.25">
      <c r="A15" s="150" t="s">
        <v>15</v>
      </c>
      <c r="B15" s="55" t="s">
        <v>32</v>
      </c>
      <c r="C15" s="217"/>
      <c r="D15" s="217"/>
      <c r="E15" s="217"/>
      <c r="F15" s="217"/>
      <c r="G15" s="217"/>
      <c r="H15" s="217"/>
    </row>
    <row r="16" spans="1:8" x14ac:dyDescent="0.25">
      <c r="A16" s="150" t="s">
        <v>16</v>
      </c>
      <c r="B16" s="85" t="s">
        <v>38</v>
      </c>
      <c r="C16" s="217"/>
      <c r="D16" s="217"/>
      <c r="E16" s="217"/>
      <c r="F16" s="217"/>
      <c r="G16" s="217"/>
      <c r="H16" s="217"/>
    </row>
    <row r="17" spans="1:8" x14ac:dyDescent="0.25">
      <c r="A17" s="150" t="s">
        <v>17</v>
      </c>
      <c r="B17" s="85" t="s">
        <v>39</v>
      </c>
      <c r="C17" s="217"/>
      <c r="D17" s="217"/>
      <c r="E17" s="217"/>
      <c r="F17" s="217"/>
      <c r="G17" s="217"/>
      <c r="H17" s="217"/>
    </row>
    <row r="18" spans="1:8" x14ac:dyDescent="0.25">
      <c r="A18" s="150" t="s">
        <v>18</v>
      </c>
      <c r="B18" s="85" t="s">
        <v>37</v>
      </c>
      <c r="C18" s="217"/>
      <c r="D18" s="217"/>
      <c r="E18" s="217"/>
      <c r="F18" s="217"/>
      <c r="G18" s="217"/>
      <c r="H18" s="217"/>
    </row>
    <row r="19" spans="1:8" x14ac:dyDescent="0.25">
      <c r="A19" s="150" t="s">
        <v>19</v>
      </c>
      <c r="B19" s="85" t="s">
        <v>36</v>
      </c>
      <c r="C19" s="217"/>
      <c r="D19" s="217"/>
      <c r="E19" s="217"/>
      <c r="F19" s="217"/>
      <c r="G19" s="217"/>
      <c r="H19" s="217"/>
    </row>
    <row r="20" spans="1:8" x14ac:dyDescent="0.25">
      <c r="A20" s="150" t="s">
        <v>20</v>
      </c>
      <c r="B20" s="85" t="s">
        <v>35</v>
      </c>
      <c r="C20" s="217"/>
      <c r="D20" s="217"/>
      <c r="E20" s="217"/>
      <c r="F20" s="217"/>
      <c r="G20" s="217"/>
      <c r="H20" s="217"/>
    </row>
    <row r="21" spans="1:8" x14ac:dyDescent="0.25">
      <c r="A21" s="152" t="s">
        <v>21</v>
      </c>
      <c r="B21" s="86" t="s">
        <v>34</v>
      </c>
      <c r="C21" s="217"/>
      <c r="D21" s="217"/>
      <c r="E21" s="217"/>
      <c r="F21" s="217"/>
      <c r="G21" s="217"/>
      <c r="H21" s="217"/>
    </row>
    <row r="22" spans="1:8" x14ac:dyDescent="0.25">
      <c r="A22" s="150" t="s">
        <v>22</v>
      </c>
      <c r="B22" s="85" t="s">
        <v>33</v>
      </c>
      <c r="C22" s="217"/>
      <c r="D22" s="217"/>
      <c r="E22" s="217"/>
      <c r="F22" s="217"/>
      <c r="G22" s="217"/>
      <c r="H22" s="217"/>
    </row>
    <row r="23" spans="1:8" x14ac:dyDescent="0.25">
      <c r="A23" s="150" t="s">
        <v>185</v>
      </c>
      <c r="B23" s="85" t="s">
        <v>188</v>
      </c>
      <c r="C23" s="219" t="s">
        <v>257</v>
      </c>
      <c r="D23" s="219"/>
      <c r="E23" s="219"/>
      <c r="F23" s="219"/>
      <c r="G23" s="219"/>
      <c r="H23" s="219"/>
    </row>
    <row r="24" spans="1:8" x14ac:dyDescent="0.25">
      <c r="A24" s="150" t="s">
        <v>186</v>
      </c>
      <c r="B24" s="85" t="s">
        <v>189</v>
      </c>
      <c r="C24" s="219"/>
      <c r="D24" s="219"/>
      <c r="E24" s="219"/>
      <c r="F24" s="219"/>
      <c r="G24" s="219"/>
      <c r="H24" s="219"/>
    </row>
    <row r="25" spans="1:8" x14ac:dyDescent="0.25">
      <c r="A25" s="150" t="s">
        <v>187</v>
      </c>
      <c r="B25" s="85" t="s">
        <v>190</v>
      </c>
      <c r="C25" s="219"/>
      <c r="D25" s="219"/>
      <c r="E25" s="219"/>
      <c r="F25" s="219"/>
      <c r="G25" s="219"/>
      <c r="H25" s="219"/>
    </row>
    <row r="26" spans="1:8" x14ac:dyDescent="0.25">
      <c r="A26" s="87" t="s">
        <v>108</v>
      </c>
      <c r="B26" s="79" t="s">
        <v>1</v>
      </c>
      <c r="C26" s="210"/>
      <c r="D26" s="211"/>
      <c r="E26" s="211"/>
      <c r="F26" s="211"/>
      <c r="G26" s="211"/>
      <c r="H26" s="212"/>
    </row>
    <row r="27" spans="1:8" ht="75" x14ac:dyDescent="0.25">
      <c r="A27" s="150" t="s">
        <v>40</v>
      </c>
      <c r="B27" s="71" t="s">
        <v>115</v>
      </c>
      <c r="C27" s="153" t="s">
        <v>247</v>
      </c>
      <c r="D27" s="153" t="s">
        <v>247</v>
      </c>
      <c r="E27" s="153" t="s">
        <v>248</v>
      </c>
      <c r="F27" s="153" t="s">
        <v>212</v>
      </c>
      <c r="G27" s="153" t="s">
        <v>249</v>
      </c>
      <c r="H27" s="153" t="s">
        <v>250</v>
      </c>
    </row>
    <row r="28" spans="1:8" ht="15" customHeight="1" x14ac:dyDescent="0.25">
      <c r="A28" s="154" t="s">
        <v>41</v>
      </c>
      <c r="B28" s="85" t="s">
        <v>116</v>
      </c>
      <c r="C28" s="217" t="s">
        <v>245</v>
      </c>
      <c r="D28" s="217"/>
      <c r="E28" s="217"/>
      <c r="F28" s="217"/>
      <c r="G28" s="217"/>
      <c r="H28" s="217"/>
    </row>
    <row r="29" spans="1:8" x14ac:dyDescent="0.25">
      <c r="A29" s="154" t="s">
        <v>42</v>
      </c>
      <c r="B29" s="85" t="s">
        <v>117</v>
      </c>
      <c r="C29" s="217"/>
      <c r="D29" s="217"/>
      <c r="E29" s="217"/>
      <c r="F29" s="217"/>
      <c r="G29" s="217"/>
      <c r="H29" s="217"/>
    </row>
    <row r="30" spans="1:8" x14ac:dyDescent="0.25">
      <c r="A30" s="154" t="s">
        <v>75</v>
      </c>
      <c r="B30" s="79" t="s">
        <v>118</v>
      </c>
      <c r="C30" s="217"/>
      <c r="D30" s="217"/>
      <c r="E30" s="217"/>
      <c r="F30" s="217"/>
      <c r="G30" s="217"/>
      <c r="H30" s="217"/>
    </row>
    <row r="31" spans="1:8" x14ac:dyDescent="0.25">
      <c r="A31" s="154" t="s">
        <v>43</v>
      </c>
      <c r="B31" s="55" t="s">
        <v>120</v>
      </c>
      <c r="C31" s="217"/>
      <c r="D31" s="217"/>
      <c r="E31" s="217"/>
      <c r="F31" s="217"/>
      <c r="G31" s="217"/>
      <c r="H31" s="217"/>
    </row>
    <row r="32" spans="1:8" x14ac:dyDescent="0.25">
      <c r="A32" s="154" t="s">
        <v>44</v>
      </c>
      <c r="B32" s="55" t="s">
        <v>121</v>
      </c>
      <c r="C32" s="217"/>
      <c r="D32" s="217"/>
      <c r="E32" s="217"/>
      <c r="F32" s="217"/>
      <c r="G32" s="217"/>
      <c r="H32" s="217"/>
    </row>
    <row r="33" spans="1:8" x14ac:dyDescent="0.25">
      <c r="A33" s="154" t="s">
        <v>45</v>
      </c>
      <c r="B33" s="55" t="s">
        <v>122</v>
      </c>
      <c r="C33" s="217"/>
      <c r="D33" s="217"/>
      <c r="E33" s="217"/>
      <c r="F33" s="217"/>
      <c r="G33" s="217"/>
      <c r="H33" s="217"/>
    </row>
    <row r="34" spans="1:8" x14ac:dyDescent="0.25">
      <c r="A34" s="154" t="s">
        <v>46</v>
      </c>
      <c r="B34" s="55" t="s">
        <v>119</v>
      </c>
      <c r="C34" s="217"/>
      <c r="D34" s="217"/>
      <c r="E34" s="217"/>
      <c r="F34" s="217"/>
      <c r="G34" s="217"/>
      <c r="H34" s="217"/>
    </row>
    <row r="35" spans="1:8" x14ac:dyDescent="0.25">
      <c r="A35" s="154" t="s">
        <v>76</v>
      </c>
      <c r="B35" s="55" t="s">
        <v>119</v>
      </c>
      <c r="C35" s="217"/>
      <c r="D35" s="217"/>
      <c r="E35" s="217"/>
      <c r="F35" s="217"/>
      <c r="G35" s="217"/>
      <c r="H35" s="217"/>
    </row>
    <row r="36" spans="1:8" x14ac:dyDescent="0.25">
      <c r="A36" s="87" t="s">
        <v>107</v>
      </c>
      <c r="B36" s="79" t="s">
        <v>123</v>
      </c>
      <c r="C36" s="213"/>
      <c r="D36" s="214"/>
      <c r="E36" s="214"/>
      <c r="F36" s="214"/>
      <c r="G36" s="214"/>
      <c r="H36" s="215"/>
    </row>
    <row r="37" spans="1:8" x14ac:dyDescent="0.25">
      <c r="A37" s="154" t="s">
        <v>77</v>
      </c>
      <c r="B37" s="55" t="s">
        <v>124</v>
      </c>
      <c r="C37" s="218" t="s">
        <v>302</v>
      </c>
      <c r="D37" s="218"/>
      <c r="E37" s="218"/>
      <c r="F37" s="218"/>
      <c r="G37" s="218"/>
      <c r="H37" s="218"/>
    </row>
    <row r="38" spans="1:8" x14ac:dyDescent="0.25">
      <c r="A38" s="154" t="s">
        <v>78</v>
      </c>
      <c r="B38" s="55" t="s">
        <v>125</v>
      </c>
      <c r="C38" s="218" t="s">
        <v>245</v>
      </c>
      <c r="D38" s="218"/>
      <c r="E38" s="218"/>
      <c r="F38" s="218"/>
      <c r="G38" s="218"/>
      <c r="H38" s="218"/>
    </row>
    <row r="39" spans="1:8" x14ac:dyDescent="0.25">
      <c r="A39" s="154" t="s">
        <v>79</v>
      </c>
      <c r="B39" s="55" t="s">
        <v>126</v>
      </c>
      <c r="C39" s="216" t="s">
        <v>251</v>
      </c>
      <c r="D39" s="216"/>
      <c r="E39" s="216"/>
      <c r="F39" s="216"/>
      <c r="G39" s="216"/>
      <c r="H39" s="216"/>
    </row>
    <row r="40" spans="1:8" ht="30" x14ac:dyDescent="0.25">
      <c r="A40" s="154" t="s">
        <v>80</v>
      </c>
      <c r="B40" s="55" t="s">
        <v>127</v>
      </c>
      <c r="C40" s="216"/>
      <c r="D40" s="216"/>
      <c r="E40" s="216"/>
      <c r="F40" s="216"/>
      <c r="G40" s="216"/>
      <c r="H40" s="216"/>
    </row>
    <row r="41" spans="1:8" x14ac:dyDescent="0.25">
      <c r="A41" s="154" t="s">
        <v>81</v>
      </c>
      <c r="B41" s="55" t="s">
        <v>128</v>
      </c>
      <c r="C41" s="216"/>
      <c r="D41" s="216"/>
      <c r="E41" s="216"/>
      <c r="F41" s="216"/>
      <c r="G41" s="216"/>
      <c r="H41" s="216"/>
    </row>
    <row r="42" spans="1:8" x14ac:dyDescent="0.25">
      <c r="A42" s="154" t="s">
        <v>82</v>
      </c>
      <c r="B42" s="55" t="s">
        <v>129</v>
      </c>
      <c r="C42" s="216"/>
      <c r="D42" s="216"/>
      <c r="E42" s="216"/>
      <c r="F42" s="216"/>
      <c r="G42" s="216"/>
      <c r="H42" s="216"/>
    </row>
    <row r="43" spans="1:8" x14ac:dyDescent="0.25">
      <c r="A43" s="154" t="s">
        <v>83</v>
      </c>
      <c r="B43" s="55" t="s">
        <v>130</v>
      </c>
      <c r="C43" s="216"/>
      <c r="D43" s="216"/>
      <c r="E43" s="216"/>
      <c r="F43" s="216"/>
      <c r="G43" s="216"/>
      <c r="H43" s="216"/>
    </row>
    <row r="44" spans="1:8" x14ac:dyDescent="0.25">
      <c r="A44" s="154" t="s">
        <v>84</v>
      </c>
      <c r="B44" s="79" t="s">
        <v>131</v>
      </c>
      <c r="C44" s="216"/>
      <c r="D44" s="216"/>
      <c r="E44" s="216"/>
      <c r="F44" s="216"/>
      <c r="G44" s="216"/>
      <c r="H44" s="216"/>
    </row>
    <row r="45" spans="1:8" x14ac:dyDescent="0.25">
      <c r="A45" s="154" t="s">
        <v>47</v>
      </c>
      <c r="B45" s="55" t="s">
        <v>132</v>
      </c>
      <c r="C45" s="216"/>
      <c r="D45" s="216"/>
      <c r="E45" s="216"/>
      <c r="F45" s="216"/>
      <c r="G45" s="216"/>
      <c r="H45" s="216"/>
    </row>
    <row r="46" spans="1:8" x14ac:dyDescent="0.25">
      <c r="A46" s="154" t="s">
        <v>48</v>
      </c>
      <c r="B46" s="55" t="s">
        <v>133</v>
      </c>
      <c r="C46" s="216"/>
      <c r="D46" s="216"/>
      <c r="E46" s="216"/>
      <c r="F46" s="216"/>
      <c r="G46" s="216"/>
      <c r="H46" s="216"/>
    </row>
    <row r="47" spans="1:8" x14ac:dyDescent="0.25">
      <c r="A47" s="154" t="s">
        <v>49</v>
      </c>
      <c r="B47" s="55" t="s">
        <v>134</v>
      </c>
      <c r="C47" s="216"/>
      <c r="D47" s="216"/>
      <c r="E47" s="216"/>
      <c r="F47" s="216"/>
      <c r="G47" s="216"/>
      <c r="H47" s="216"/>
    </row>
    <row r="48" spans="1:8" x14ac:dyDescent="0.25">
      <c r="A48" s="154" t="s">
        <v>50</v>
      </c>
      <c r="B48" s="55" t="s">
        <v>135</v>
      </c>
      <c r="C48" s="216"/>
      <c r="D48" s="216"/>
      <c r="E48" s="216"/>
      <c r="F48" s="216"/>
      <c r="G48" s="216"/>
      <c r="H48" s="216"/>
    </row>
    <row r="49" spans="1:8" x14ac:dyDescent="0.25">
      <c r="A49" s="154" t="s">
        <v>51</v>
      </c>
      <c r="B49" s="55" t="s">
        <v>136</v>
      </c>
      <c r="C49" s="216"/>
      <c r="D49" s="216"/>
      <c r="E49" s="216"/>
      <c r="F49" s="216"/>
      <c r="G49" s="216"/>
      <c r="H49" s="216"/>
    </row>
    <row r="50" spans="1:8" x14ac:dyDescent="0.25">
      <c r="A50" s="154" t="s">
        <v>52</v>
      </c>
      <c r="B50" s="55" t="s">
        <v>137</v>
      </c>
      <c r="C50" s="216"/>
      <c r="D50" s="216"/>
      <c r="E50" s="216"/>
      <c r="F50" s="216"/>
      <c r="G50" s="216"/>
      <c r="H50" s="216"/>
    </row>
    <row r="51" spans="1:8" x14ac:dyDescent="0.25">
      <c r="A51" s="154" t="s">
        <v>85</v>
      </c>
      <c r="B51" s="79" t="s">
        <v>138</v>
      </c>
      <c r="C51" s="217" t="s">
        <v>257</v>
      </c>
      <c r="D51" s="217"/>
      <c r="E51" s="217"/>
      <c r="F51" s="217"/>
      <c r="G51" s="217"/>
      <c r="H51" s="217"/>
    </row>
    <row r="52" spans="1:8" x14ac:dyDescent="0.25">
      <c r="A52" s="154" t="s">
        <v>53</v>
      </c>
      <c r="B52" s="55" t="s">
        <v>139</v>
      </c>
      <c r="C52" s="217"/>
      <c r="D52" s="217"/>
      <c r="E52" s="217"/>
      <c r="F52" s="217"/>
      <c r="G52" s="217"/>
      <c r="H52" s="217"/>
    </row>
    <row r="53" spans="1:8" x14ac:dyDescent="0.25">
      <c r="A53" s="154" t="s">
        <v>54</v>
      </c>
      <c r="B53" s="55" t="s">
        <v>140</v>
      </c>
      <c r="C53" s="217"/>
      <c r="D53" s="217"/>
      <c r="E53" s="217"/>
      <c r="F53" s="217"/>
      <c r="G53" s="217"/>
      <c r="H53" s="217"/>
    </row>
    <row r="54" spans="1:8" x14ac:dyDescent="0.25">
      <c r="A54" s="154" t="s">
        <v>55</v>
      </c>
      <c r="B54" s="55" t="s">
        <v>119</v>
      </c>
      <c r="C54" s="217"/>
      <c r="D54" s="217"/>
      <c r="E54" s="217"/>
      <c r="F54" s="217"/>
      <c r="G54" s="217"/>
      <c r="H54" s="217"/>
    </row>
    <row r="55" spans="1:8" x14ac:dyDescent="0.25">
      <c r="A55" s="87" t="s">
        <v>109</v>
      </c>
      <c r="B55" s="79" t="s">
        <v>141</v>
      </c>
      <c r="C55" s="213"/>
      <c r="D55" s="214"/>
      <c r="E55" s="214"/>
      <c r="F55" s="214"/>
      <c r="G55" s="214"/>
      <c r="H55" s="215"/>
    </row>
    <row r="56" spans="1:8" x14ac:dyDescent="0.25">
      <c r="A56" s="154" t="s">
        <v>86</v>
      </c>
      <c r="B56" s="55" t="s">
        <v>142</v>
      </c>
      <c r="C56" s="217" t="s">
        <v>245</v>
      </c>
      <c r="D56" s="217"/>
      <c r="E56" s="217"/>
      <c r="F56" s="217"/>
      <c r="G56" s="217"/>
      <c r="H56" s="217"/>
    </row>
    <row r="57" spans="1:8" x14ac:dyDescent="0.25">
      <c r="A57" s="154" t="s">
        <v>87</v>
      </c>
      <c r="B57" s="55" t="s">
        <v>143</v>
      </c>
      <c r="C57" s="217"/>
      <c r="D57" s="217"/>
      <c r="E57" s="217"/>
      <c r="F57" s="217"/>
      <c r="G57" s="217"/>
      <c r="H57" s="217"/>
    </row>
    <row r="58" spans="1:8" x14ac:dyDescent="0.25">
      <c r="A58" s="154" t="s">
        <v>88</v>
      </c>
      <c r="B58" s="55" t="s">
        <v>144</v>
      </c>
      <c r="C58" s="216" t="s">
        <v>252</v>
      </c>
      <c r="D58" s="216"/>
      <c r="E58" s="216" t="s">
        <v>253</v>
      </c>
      <c r="F58" s="216"/>
      <c r="G58" s="216" t="s">
        <v>254</v>
      </c>
      <c r="H58" s="216"/>
    </row>
    <row r="59" spans="1:8" x14ac:dyDescent="0.25">
      <c r="A59" s="154" t="s">
        <v>89</v>
      </c>
      <c r="B59" s="55" t="s">
        <v>145</v>
      </c>
      <c r="C59" s="217" t="s">
        <v>213</v>
      </c>
      <c r="D59" s="217"/>
      <c r="E59" s="217"/>
      <c r="F59" s="217"/>
      <c r="G59" s="217"/>
      <c r="H59" s="217"/>
    </row>
    <row r="60" spans="1:8" x14ac:dyDescent="0.25">
      <c r="A60" s="154" t="s">
        <v>90</v>
      </c>
      <c r="B60" s="55" t="s">
        <v>146</v>
      </c>
      <c r="C60" s="216" t="s">
        <v>255</v>
      </c>
      <c r="D60" s="216"/>
      <c r="E60" s="216"/>
      <c r="F60" s="216"/>
      <c r="G60" s="216" t="s">
        <v>254</v>
      </c>
      <c r="H60" s="216"/>
    </row>
    <row r="61" spans="1:8" x14ac:dyDescent="0.25">
      <c r="A61" s="154" t="s">
        <v>91</v>
      </c>
      <c r="B61" s="55" t="s">
        <v>147</v>
      </c>
      <c r="C61" s="216"/>
      <c r="D61" s="216"/>
      <c r="E61" s="216"/>
      <c r="F61" s="216"/>
      <c r="G61" s="216"/>
      <c r="H61" s="216"/>
    </row>
    <row r="62" spans="1:8" x14ac:dyDescent="0.25">
      <c r="A62" s="150" t="s">
        <v>92</v>
      </c>
      <c r="B62" s="155" t="s">
        <v>119</v>
      </c>
      <c r="C62" s="217" t="s">
        <v>245</v>
      </c>
      <c r="D62" s="217"/>
      <c r="E62" s="217"/>
      <c r="F62" s="217"/>
      <c r="G62" s="217"/>
      <c r="H62" s="217"/>
    </row>
    <row r="63" spans="1:8" x14ac:dyDescent="0.25">
      <c r="A63" s="78" t="s">
        <v>110</v>
      </c>
      <c r="B63" s="79" t="s">
        <v>148</v>
      </c>
      <c r="C63" s="210"/>
      <c r="D63" s="211"/>
      <c r="E63" s="211"/>
      <c r="F63" s="211"/>
      <c r="G63" s="211"/>
      <c r="H63" s="212"/>
    </row>
    <row r="64" spans="1:8" x14ac:dyDescent="0.25">
      <c r="A64" s="154" t="s">
        <v>93</v>
      </c>
      <c r="B64" s="55" t="s">
        <v>149</v>
      </c>
      <c r="C64" s="217" t="s">
        <v>245</v>
      </c>
      <c r="D64" s="217"/>
      <c r="E64" s="217"/>
      <c r="F64" s="217"/>
      <c r="G64" s="217"/>
      <c r="H64" s="217"/>
    </row>
    <row r="65" spans="1:8" ht="18" customHeight="1" x14ac:dyDescent="0.25">
      <c r="A65" s="154" t="s">
        <v>94</v>
      </c>
      <c r="B65" s="55" t="s">
        <v>150</v>
      </c>
      <c r="C65" s="217"/>
      <c r="D65" s="217"/>
      <c r="E65" s="217"/>
      <c r="F65" s="217"/>
      <c r="G65" s="217"/>
      <c r="H65" s="217"/>
    </row>
    <row r="66" spans="1:8" x14ac:dyDescent="0.25">
      <c r="A66" s="154" t="s">
        <v>95</v>
      </c>
      <c r="B66" s="55" t="s">
        <v>151</v>
      </c>
      <c r="C66" s="218" t="s">
        <v>257</v>
      </c>
      <c r="D66" s="218"/>
      <c r="E66" s="218"/>
      <c r="F66" s="218"/>
      <c r="G66" s="218"/>
      <c r="H66" s="218"/>
    </row>
    <row r="67" spans="1:8" x14ac:dyDescent="0.25">
      <c r="A67" s="154" t="s">
        <v>96</v>
      </c>
      <c r="B67" s="55" t="s">
        <v>152</v>
      </c>
      <c r="C67" s="218"/>
      <c r="D67" s="218"/>
      <c r="E67" s="218"/>
      <c r="F67" s="218"/>
      <c r="G67" s="218"/>
      <c r="H67" s="218"/>
    </row>
    <row r="68" spans="1:8" x14ac:dyDescent="0.25">
      <c r="A68" s="154" t="s">
        <v>111</v>
      </c>
      <c r="B68" s="79" t="s">
        <v>153</v>
      </c>
      <c r="C68" s="218"/>
      <c r="D68" s="218"/>
      <c r="E68" s="218"/>
      <c r="F68" s="218"/>
      <c r="G68" s="218"/>
      <c r="H68" s="218"/>
    </row>
    <row r="69" spans="1:8" x14ac:dyDescent="0.25">
      <c r="A69" s="156" t="s">
        <v>56</v>
      </c>
      <c r="B69" s="55" t="s">
        <v>154</v>
      </c>
      <c r="C69" s="218"/>
      <c r="D69" s="218"/>
      <c r="E69" s="218"/>
      <c r="F69" s="218"/>
      <c r="G69" s="218"/>
      <c r="H69" s="218"/>
    </row>
    <row r="70" spans="1:8" x14ac:dyDescent="0.25">
      <c r="A70" s="156" t="s">
        <v>57</v>
      </c>
      <c r="B70" s="55" t="s">
        <v>155</v>
      </c>
      <c r="C70" s="218"/>
      <c r="D70" s="218"/>
      <c r="E70" s="218"/>
      <c r="F70" s="218"/>
      <c r="G70" s="218"/>
      <c r="H70" s="218"/>
    </row>
    <row r="71" spans="1:8" x14ac:dyDescent="0.25">
      <c r="A71" s="156" t="s">
        <v>58</v>
      </c>
      <c r="B71" s="55" t="s">
        <v>156</v>
      </c>
      <c r="C71" s="218"/>
      <c r="D71" s="218"/>
      <c r="E71" s="218"/>
      <c r="F71" s="218"/>
      <c r="G71" s="218"/>
      <c r="H71" s="218"/>
    </row>
    <row r="72" spans="1:8" x14ac:dyDescent="0.25">
      <c r="A72" s="156" t="s">
        <v>59</v>
      </c>
      <c r="B72" s="55" t="s">
        <v>157</v>
      </c>
      <c r="C72" s="218"/>
      <c r="D72" s="218"/>
      <c r="E72" s="218"/>
      <c r="F72" s="218"/>
      <c r="G72" s="218"/>
      <c r="H72" s="218"/>
    </row>
    <row r="73" spans="1:8" x14ac:dyDescent="0.25">
      <c r="A73" s="156" t="s">
        <v>60</v>
      </c>
      <c r="B73" s="55" t="s">
        <v>119</v>
      </c>
      <c r="C73" s="218"/>
      <c r="D73" s="218"/>
      <c r="E73" s="218"/>
      <c r="F73" s="218"/>
      <c r="G73" s="218"/>
      <c r="H73" s="218"/>
    </row>
    <row r="74" spans="1:8" ht="30" x14ac:dyDescent="0.25">
      <c r="A74" s="154" t="s">
        <v>112</v>
      </c>
      <c r="B74" s="79" t="s">
        <v>158</v>
      </c>
      <c r="C74" s="218"/>
      <c r="D74" s="218"/>
      <c r="E74" s="218"/>
      <c r="F74" s="218"/>
      <c r="G74" s="218"/>
      <c r="H74" s="218"/>
    </row>
    <row r="75" spans="1:8" x14ac:dyDescent="0.25">
      <c r="A75" s="154" t="s">
        <v>97</v>
      </c>
      <c r="B75" s="55" t="s">
        <v>159</v>
      </c>
      <c r="C75" s="218"/>
      <c r="D75" s="218"/>
      <c r="E75" s="218"/>
      <c r="F75" s="218"/>
      <c r="G75" s="218"/>
      <c r="H75" s="218"/>
    </row>
    <row r="76" spans="1:8" x14ac:dyDescent="0.25">
      <c r="A76" s="154" t="s">
        <v>61</v>
      </c>
      <c r="B76" s="55" t="s">
        <v>160</v>
      </c>
      <c r="C76" s="218"/>
      <c r="D76" s="218"/>
      <c r="E76" s="218"/>
      <c r="F76" s="218"/>
      <c r="G76" s="218"/>
      <c r="H76" s="218"/>
    </row>
    <row r="77" spans="1:8" x14ac:dyDescent="0.25">
      <c r="A77" s="154" t="s">
        <v>62</v>
      </c>
      <c r="B77" s="55" t="s">
        <v>161</v>
      </c>
      <c r="C77" s="218"/>
      <c r="D77" s="218"/>
      <c r="E77" s="218"/>
      <c r="F77" s="218"/>
      <c r="G77" s="218"/>
      <c r="H77" s="218"/>
    </row>
    <row r="78" spans="1:8" x14ac:dyDescent="0.25">
      <c r="A78" s="154" t="s">
        <v>98</v>
      </c>
      <c r="B78" s="55" t="s">
        <v>162</v>
      </c>
      <c r="C78" s="218"/>
      <c r="D78" s="218"/>
      <c r="E78" s="218"/>
      <c r="F78" s="218"/>
      <c r="G78" s="218"/>
      <c r="H78" s="218"/>
    </row>
    <row r="79" spans="1:8" x14ac:dyDescent="0.25">
      <c r="A79" s="154" t="s">
        <v>99</v>
      </c>
      <c r="B79" s="55" t="s">
        <v>163</v>
      </c>
      <c r="C79" s="218"/>
      <c r="D79" s="218"/>
      <c r="E79" s="218"/>
      <c r="F79" s="218"/>
      <c r="G79" s="218"/>
      <c r="H79" s="218"/>
    </row>
    <row r="80" spans="1:8" x14ac:dyDescent="0.25">
      <c r="A80" s="154" t="s">
        <v>100</v>
      </c>
      <c r="B80" s="55" t="s">
        <v>164</v>
      </c>
      <c r="C80" s="218"/>
      <c r="D80" s="218"/>
      <c r="E80" s="218"/>
      <c r="F80" s="218"/>
      <c r="G80" s="218"/>
      <c r="H80" s="218"/>
    </row>
    <row r="81" spans="1:8" x14ac:dyDescent="0.25">
      <c r="A81" s="154" t="s">
        <v>101</v>
      </c>
      <c r="B81" s="55" t="s">
        <v>165</v>
      </c>
      <c r="C81" s="218"/>
      <c r="D81" s="218"/>
      <c r="E81" s="218"/>
      <c r="F81" s="218"/>
      <c r="G81" s="218"/>
      <c r="H81" s="218"/>
    </row>
    <row r="82" spans="1:8" x14ac:dyDescent="0.25">
      <c r="A82" s="154" t="s">
        <v>102</v>
      </c>
      <c r="B82" s="55" t="s">
        <v>166</v>
      </c>
      <c r="C82" s="218"/>
      <c r="D82" s="218"/>
      <c r="E82" s="218"/>
      <c r="F82" s="218"/>
      <c r="G82" s="218"/>
      <c r="H82" s="218"/>
    </row>
    <row r="83" spans="1:8" x14ac:dyDescent="0.25">
      <c r="A83" s="87" t="s">
        <v>113</v>
      </c>
      <c r="B83" s="79" t="s">
        <v>167</v>
      </c>
      <c r="C83" s="218"/>
      <c r="D83" s="218"/>
      <c r="E83" s="218"/>
      <c r="F83" s="218"/>
      <c r="G83" s="218"/>
      <c r="H83" s="218"/>
    </row>
    <row r="84" spans="1:8" x14ac:dyDescent="0.25">
      <c r="A84" s="154" t="s">
        <v>103</v>
      </c>
      <c r="B84" s="79" t="s">
        <v>168</v>
      </c>
      <c r="C84" s="218"/>
      <c r="D84" s="218"/>
      <c r="E84" s="218"/>
      <c r="F84" s="218"/>
      <c r="G84" s="218"/>
      <c r="H84" s="218"/>
    </row>
    <row r="85" spans="1:8" x14ac:dyDescent="0.25">
      <c r="A85" s="154" t="s">
        <v>63</v>
      </c>
      <c r="B85" s="55" t="s">
        <v>169</v>
      </c>
      <c r="C85" s="218"/>
      <c r="D85" s="218"/>
      <c r="E85" s="218"/>
      <c r="F85" s="218"/>
      <c r="G85" s="218"/>
      <c r="H85" s="218"/>
    </row>
    <row r="86" spans="1:8" x14ac:dyDescent="0.25">
      <c r="A86" s="154" t="s">
        <v>64</v>
      </c>
      <c r="B86" s="55" t="s">
        <v>170</v>
      </c>
      <c r="C86" s="218"/>
      <c r="D86" s="218"/>
      <c r="E86" s="218"/>
      <c r="F86" s="218"/>
      <c r="G86" s="218"/>
      <c r="H86" s="218"/>
    </row>
    <row r="87" spans="1:8" x14ac:dyDescent="0.25">
      <c r="A87" s="154" t="s">
        <v>65</v>
      </c>
      <c r="B87" s="55" t="s">
        <v>171</v>
      </c>
      <c r="C87" s="218"/>
      <c r="D87" s="218"/>
      <c r="E87" s="218"/>
      <c r="F87" s="218"/>
      <c r="G87" s="218"/>
      <c r="H87" s="218"/>
    </row>
    <row r="88" spans="1:8" x14ac:dyDescent="0.25">
      <c r="A88" s="154" t="s">
        <v>104</v>
      </c>
      <c r="B88" s="79" t="s">
        <v>172</v>
      </c>
      <c r="C88" s="218"/>
      <c r="D88" s="218"/>
      <c r="E88" s="218"/>
      <c r="F88" s="218"/>
      <c r="G88" s="218"/>
      <c r="H88" s="218"/>
    </row>
    <row r="89" spans="1:8" x14ac:dyDescent="0.25">
      <c r="A89" s="154" t="s">
        <v>66</v>
      </c>
      <c r="B89" s="55" t="s">
        <v>173</v>
      </c>
      <c r="C89" s="218"/>
      <c r="D89" s="218"/>
      <c r="E89" s="218"/>
      <c r="F89" s="218"/>
      <c r="G89" s="218"/>
      <c r="H89" s="218"/>
    </row>
    <row r="90" spans="1:8" x14ac:dyDescent="0.25">
      <c r="A90" s="154" t="s">
        <v>67</v>
      </c>
      <c r="B90" s="55" t="s">
        <v>174</v>
      </c>
      <c r="C90" s="218"/>
      <c r="D90" s="218"/>
      <c r="E90" s="218"/>
      <c r="F90" s="218"/>
      <c r="G90" s="218"/>
      <c r="H90" s="218"/>
    </row>
    <row r="91" spans="1:8" x14ac:dyDescent="0.25">
      <c r="A91" s="154" t="s">
        <v>68</v>
      </c>
      <c r="B91" s="55" t="s">
        <v>119</v>
      </c>
      <c r="C91" s="218"/>
      <c r="D91" s="218"/>
      <c r="E91" s="218"/>
      <c r="F91" s="218"/>
      <c r="G91" s="218"/>
      <c r="H91" s="218"/>
    </row>
    <row r="92" spans="1:8" x14ac:dyDescent="0.25">
      <c r="A92" s="154" t="s">
        <v>105</v>
      </c>
      <c r="B92" s="79" t="s">
        <v>175</v>
      </c>
      <c r="C92" s="218"/>
      <c r="D92" s="218"/>
      <c r="E92" s="218"/>
      <c r="F92" s="218"/>
      <c r="G92" s="218"/>
      <c r="H92" s="218"/>
    </row>
    <row r="93" spans="1:8" x14ac:dyDescent="0.25">
      <c r="A93" s="154" t="s">
        <v>69</v>
      </c>
      <c r="B93" s="55" t="s">
        <v>176</v>
      </c>
      <c r="C93" s="218"/>
      <c r="D93" s="218"/>
      <c r="E93" s="218"/>
      <c r="F93" s="218"/>
      <c r="G93" s="218"/>
      <c r="H93" s="218"/>
    </row>
    <row r="94" spans="1:8" x14ac:dyDescent="0.25">
      <c r="A94" s="154" t="s">
        <v>70</v>
      </c>
      <c r="B94" s="55" t="s">
        <v>177</v>
      </c>
      <c r="C94" s="218"/>
      <c r="D94" s="218"/>
      <c r="E94" s="218"/>
      <c r="F94" s="218"/>
      <c r="G94" s="218"/>
      <c r="H94" s="218"/>
    </row>
    <row r="95" spans="1:8" x14ac:dyDescent="0.25">
      <c r="A95" s="154" t="s">
        <v>71</v>
      </c>
      <c r="B95" s="55" t="s">
        <v>119</v>
      </c>
      <c r="C95" s="218"/>
      <c r="D95" s="218"/>
      <c r="E95" s="218"/>
      <c r="F95" s="218"/>
      <c r="G95" s="218"/>
      <c r="H95" s="218"/>
    </row>
    <row r="96" spans="1:8" x14ac:dyDescent="0.25">
      <c r="A96" s="154" t="s">
        <v>106</v>
      </c>
      <c r="B96" s="55" t="s">
        <v>119</v>
      </c>
      <c r="C96" s="218"/>
      <c r="D96" s="218"/>
      <c r="E96" s="218"/>
      <c r="F96" s="218"/>
      <c r="G96" s="218"/>
      <c r="H96" s="218"/>
    </row>
    <row r="97" spans="1:8" x14ac:dyDescent="0.25">
      <c r="A97" s="87" t="s">
        <v>114</v>
      </c>
      <c r="B97" s="79" t="s">
        <v>119</v>
      </c>
      <c r="C97" s="218"/>
      <c r="D97" s="218"/>
      <c r="E97" s="218"/>
      <c r="F97" s="218"/>
      <c r="G97" s="218"/>
      <c r="H97" s="218"/>
    </row>
    <row r="98" spans="1:8" x14ac:dyDescent="0.25">
      <c r="A98" s="154" t="s">
        <v>72</v>
      </c>
      <c r="B98" s="55" t="s">
        <v>178</v>
      </c>
      <c r="C98" s="218"/>
      <c r="D98" s="218"/>
      <c r="E98" s="218"/>
      <c r="F98" s="218"/>
      <c r="G98" s="218"/>
      <c r="H98" s="218"/>
    </row>
    <row r="99" spans="1:8" x14ac:dyDescent="0.25">
      <c r="A99" s="154" t="s">
        <v>73</v>
      </c>
      <c r="B99" s="55" t="s">
        <v>179</v>
      </c>
      <c r="C99" s="218"/>
      <c r="D99" s="218"/>
      <c r="E99" s="218"/>
      <c r="F99" s="218"/>
      <c r="G99" s="218"/>
      <c r="H99" s="218"/>
    </row>
    <row r="100" spans="1:8" x14ac:dyDescent="0.25">
      <c r="A100" s="154" t="s">
        <v>74</v>
      </c>
      <c r="B100" s="55" t="s">
        <v>119</v>
      </c>
      <c r="C100" s="218"/>
      <c r="D100" s="218"/>
      <c r="E100" s="218"/>
      <c r="F100" s="218"/>
      <c r="G100" s="218"/>
      <c r="H100" s="218"/>
    </row>
  </sheetData>
  <mergeCells count="28">
    <mergeCell ref="C64:H65"/>
    <mergeCell ref="C66:H100"/>
    <mergeCell ref="C23:H25"/>
    <mergeCell ref="C2:H2"/>
    <mergeCell ref="C4:H4"/>
    <mergeCell ref="C5:H7"/>
    <mergeCell ref="C8:H8"/>
    <mergeCell ref="C10:H22"/>
    <mergeCell ref="C3:H3"/>
    <mergeCell ref="C9:H9"/>
    <mergeCell ref="C58:D58"/>
    <mergeCell ref="E58:F58"/>
    <mergeCell ref="G58:H58"/>
    <mergeCell ref="C59:H59"/>
    <mergeCell ref="C28:H35"/>
    <mergeCell ref="A1:B1"/>
    <mergeCell ref="C26:H26"/>
    <mergeCell ref="C36:H36"/>
    <mergeCell ref="C55:H55"/>
    <mergeCell ref="C63:H63"/>
    <mergeCell ref="C60:F61"/>
    <mergeCell ref="G60:H61"/>
    <mergeCell ref="C62:H62"/>
    <mergeCell ref="C39:H50"/>
    <mergeCell ref="C51:H54"/>
    <mergeCell ref="C56:H57"/>
    <mergeCell ref="C37:H37"/>
    <mergeCell ref="C38:H38"/>
  </mergeCells>
  <hyperlinks>
    <hyperlink ref="C8" r:id="rId1" display="CIL Data" xr:uid="{00000000-0004-0000-0A00-000000000000}"/>
    <hyperlink ref="C60" r:id="rId2" display="IBM Data 2007" xr:uid="{00000000-0004-0000-0A00-000001000000}"/>
    <hyperlink ref="H27" r:id="rId3" display="IBM Data (2012-13)" xr:uid="{00000000-0004-0000-0A00-000002000000}"/>
    <hyperlink ref="F27" r:id="rId4" xr:uid="{00000000-0004-0000-0A00-000003000000}"/>
    <hyperlink ref="C27" r:id="rId5" xr:uid="{00000000-0004-0000-0A00-000004000000}"/>
    <hyperlink ref="G60" r:id="rId6" display="IBM Data (2012-13)" xr:uid="{00000000-0004-0000-0A00-000005000000}"/>
    <hyperlink ref="D27" r:id="rId7" xr:uid="{00000000-0004-0000-0A00-000006000000}"/>
    <hyperlink ref="E27" r:id="rId8" display="IBM Data 2010 " xr:uid="{00000000-0004-0000-0A00-000007000000}"/>
    <hyperlink ref="G27" r:id="rId9" display="IBM Data (2012-13)" xr:uid="{00000000-0004-0000-0A00-000008000000}"/>
    <hyperlink ref="C39" r:id="rId10" display="Chemicals and Petrochemicals statistics (Ministry of chemicals and fertilizers)" xr:uid="{00000000-0004-0000-0A00-000009000000}"/>
    <hyperlink ref="E58" r:id="rId11" xr:uid="{00000000-0004-0000-0A00-00000A000000}"/>
    <hyperlink ref="F58" r:id="rId12" display="http://ibm.nic.in/writereaddata/files/07092014130344IMYB-2012- Aluminium &amp; Alumina.pdf" xr:uid="{00000000-0004-0000-0A00-00000B000000}"/>
    <hyperlink ref="G58" r:id="rId13" xr:uid="{00000000-0004-0000-0A00-00000C000000}"/>
    <hyperlink ref="H58" r:id="rId14" display="http://ibm.nic.in/writereaddata/files/05282015122910Aluminium &amp; Alumina_2013.pdf" xr:uid="{00000000-0004-0000-0A00-00000D000000}"/>
    <hyperlink ref="C58" r:id="rId15" xr:uid="{00000000-0004-0000-0A00-00000E000000}"/>
    <hyperlink ref="D58" r:id="rId16" display="http://www.mcxindia.com/downloads/overview/PDF/2010/Non-Agricultural/Aluminium.pdf" xr:uid="{00000000-0004-0000-0A00-00000F000000}"/>
  </hyperlink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1"/>
  <sheetViews>
    <sheetView workbookViewId="0"/>
  </sheetViews>
  <sheetFormatPr defaultColWidth="8.85546875" defaultRowHeight="15" x14ac:dyDescent="0.25"/>
  <cols>
    <col min="1" max="2" width="8.85546875" style="7"/>
    <col min="3" max="3" width="102.42578125" style="7" customWidth="1"/>
    <col min="4" max="16384" width="8.85546875" style="7"/>
  </cols>
  <sheetData>
    <row r="2" spans="2:3" x14ac:dyDescent="0.25">
      <c r="B2" s="59" t="s">
        <v>280</v>
      </c>
      <c r="C2" s="59" t="s">
        <v>290</v>
      </c>
    </row>
    <row r="3" spans="2:3" ht="18.75" customHeight="1" x14ac:dyDescent="0.25">
      <c r="B3" s="43">
        <v>1</v>
      </c>
      <c r="C3" s="44" t="s">
        <v>281</v>
      </c>
    </row>
    <row r="4" spans="2:3" x14ac:dyDescent="0.25">
      <c r="B4" s="43">
        <v>2</v>
      </c>
      <c r="C4" s="44" t="s">
        <v>291</v>
      </c>
    </row>
    <row r="5" spans="2:3" x14ac:dyDescent="0.25">
      <c r="B5" s="43">
        <v>3</v>
      </c>
      <c r="C5" s="43" t="s">
        <v>293</v>
      </c>
    </row>
    <row r="6" spans="2:3" x14ac:dyDescent="0.25">
      <c r="B6" s="43">
        <v>4</v>
      </c>
      <c r="C6" s="43" t="s">
        <v>292</v>
      </c>
    </row>
    <row r="7" spans="2:3" x14ac:dyDescent="0.25">
      <c r="B7" s="43">
        <v>5</v>
      </c>
      <c r="C7" s="43" t="s">
        <v>282</v>
      </c>
    </row>
    <row r="8" spans="2:3" x14ac:dyDescent="0.25">
      <c r="B8" s="43">
        <v>6</v>
      </c>
      <c r="C8" s="43" t="s">
        <v>283</v>
      </c>
    </row>
    <row r="9" spans="2:3" x14ac:dyDescent="0.25">
      <c r="B9" s="43">
        <v>7</v>
      </c>
      <c r="C9" s="43" t="s">
        <v>284</v>
      </c>
    </row>
    <row r="10" spans="2:3" x14ac:dyDescent="0.25">
      <c r="B10" s="43">
        <v>8</v>
      </c>
      <c r="C10" s="43" t="s">
        <v>285</v>
      </c>
    </row>
    <row r="11" spans="2:3" x14ac:dyDescent="0.25">
      <c r="B11" s="43">
        <v>9</v>
      </c>
      <c r="C11" s="43" t="s">
        <v>286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222"/>
  <sheetViews>
    <sheetView zoomScale="54" zoomScaleNormal="54" workbookViewId="0">
      <pane xSplit="3" ySplit="3" topLeftCell="K4" activePane="bottomRight" state="frozen"/>
      <selection pane="topRight" activeCell="D1" sqref="D1"/>
      <selection pane="bottomLeft" activeCell="A2" sqref="A2"/>
      <selection pane="bottomRight" activeCell="B2" sqref="B2:P103"/>
    </sheetView>
  </sheetViews>
  <sheetFormatPr defaultColWidth="8.85546875" defaultRowHeight="15" x14ac:dyDescent="0.25"/>
  <cols>
    <col min="1" max="2" width="11.42578125" customWidth="1"/>
    <col min="3" max="3" width="48.140625" style="1" customWidth="1"/>
    <col min="4" max="4" width="13.42578125" style="4" hidden="1" customWidth="1"/>
    <col min="5" max="5" width="12.85546875" hidden="1" customWidth="1"/>
    <col min="6" max="6" width="13" style="4" hidden="1" customWidth="1"/>
    <col min="7" max="7" width="12.85546875" style="4" hidden="1" customWidth="1"/>
    <col min="8" max="8" width="13" style="4" hidden="1" customWidth="1"/>
    <col min="9" max="9" width="14.42578125" style="4" hidden="1" customWidth="1"/>
    <col min="10" max="10" width="12.85546875" hidden="1" customWidth="1"/>
    <col min="11" max="12" width="11.85546875" bestFit="1" customWidth="1"/>
    <col min="13" max="16" width="12.42578125" bestFit="1" customWidth="1"/>
  </cols>
  <sheetData>
    <row r="1" spans="1:52" s="4" customFormat="1" ht="15.75" x14ac:dyDescent="0.25">
      <c r="A1" s="60" t="s">
        <v>312</v>
      </c>
      <c r="B1" s="7"/>
      <c r="C1" s="45"/>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row>
    <row r="2" spans="1:52" s="4" customFormat="1" x14ac:dyDescent="0.25">
      <c r="A2" s="7"/>
      <c r="B2" s="2"/>
      <c r="C2" s="70"/>
      <c r="D2" s="178" t="s">
        <v>216</v>
      </c>
      <c r="E2" s="178"/>
      <c r="F2" s="178"/>
      <c r="G2" s="178"/>
      <c r="H2" s="178"/>
      <c r="I2" s="178"/>
      <c r="J2" s="178"/>
      <c r="K2" s="178" t="s">
        <v>224</v>
      </c>
      <c r="L2" s="178"/>
      <c r="M2" s="178"/>
      <c r="N2" s="178"/>
      <c r="O2" s="178"/>
      <c r="P2" s="178"/>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row>
    <row r="3" spans="1:52" s="6" customFormat="1" ht="30" x14ac:dyDescent="0.25">
      <c r="B3" s="71"/>
      <c r="C3" s="72"/>
      <c r="D3" s="73" t="s">
        <v>199</v>
      </c>
      <c r="E3" s="73" t="s">
        <v>198</v>
      </c>
      <c r="F3" s="73" t="s">
        <v>215</v>
      </c>
      <c r="G3" s="73" t="s">
        <v>203</v>
      </c>
      <c r="H3" s="73" t="s">
        <v>204</v>
      </c>
      <c r="I3" s="73" t="s">
        <v>214</v>
      </c>
      <c r="J3" s="73" t="s">
        <v>180</v>
      </c>
      <c r="K3" s="74" t="s">
        <v>217</v>
      </c>
      <c r="L3" s="74" t="s">
        <v>218</v>
      </c>
      <c r="M3" s="74" t="s">
        <v>219</v>
      </c>
      <c r="N3" s="74" t="s">
        <v>220</v>
      </c>
      <c r="O3" s="74" t="s">
        <v>221</v>
      </c>
      <c r="P3" s="74" t="s">
        <v>222</v>
      </c>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row>
    <row r="4" spans="1:52" x14ac:dyDescent="0.25">
      <c r="A4" s="11"/>
      <c r="B4" s="75" t="s">
        <v>191</v>
      </c>
      <c r="C4" s="76" t="s">
        <v>2</v>
      </c>
      <c r="D4" s="77" t="s">
        <v>194</v>
      </c>
      <c r="E4" s="77" t="s">
        <v>194</v>
      </c>
      <c r="F4" s="77" t="s">
        <v>194</v>
      </c>
      <c r="G4" s="77" t="s">
        <v>194</v>
      </c>
      <c r="H4" s="77" t="s">
        <v>194</v>
      </c>
      <c r="I4" s="77" t="s">
        <v>194</v>
      </c>
      <c r="J4" s="77" t="s">
        <v>194</v>
      </c>
      <c r="K4" s="194" t="s">
        <v>307</v>
      </c>
      <c r="L4" s="195"/>
      <c r="M4" s="195"/>
      <c r="N4" s="195"/>
      <c r="O4" s="195"/>
      <c r="P4" s="196"/>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row>
    <row r="5" spans="1:52" s="2" customFormat="1" ht="15" customHeight="1" x14ac:dyDescent="0.25">
      <c r="A5" s="181" t="s">
        <v>3</v>
      </c>
      <c r="B5" s="78" t="s">
        <v>184</v>
      </c>
      <c r="C5" s="79" t="s">
        <v>183</v>
      </c>
      <c r="D5" s="80">
        <f>SUM(D6:D10)</f>
        <v>33523.982495369521</v>
      </c>
      <c r="E5" s="80">
        <f>SUM(E6:E10)</f>
        <v>34996.866109216644</v>
      </c>
      <c r="F5" s="80">
        <f>SUM(F6:F10)</f>
        <v>37341.947437777068</v>
      </c>
      <c r="G5" s="80">
        <f t="shared" ref="G5:I5" si="0">SUM(G6:G10)</f>
        <v>44077.190477789933</v>
      </c>
      <c r="H5" s="80">
        <f t="shared" si="0"/>
        <v>44773.921002638002</v>
      </c>
      <c r="I5" s="80">
        <f t="shared" si="0"/>
        <v>45362.47769804667</v>
      </c>
      <c r="J5" s="81">
        <f t="shared" ref="J5:P5" si="1">SUM(J6:J10)</f>
        <v>42537.435265249114</v>
      </c>
      <c r="K5" s="81">
        <f t="shared" si="1"/>
        <v>34.628645205754864</v>
      </c>
      <c r="L5" s="81">
        <f t="shared" si="1"/>
        <v>36.755677105636963</v>
      </c>
      <c r="M5" s="81">
        <f t="shared" si="1"/>
        <v>42.393379717786715</v>
      </c>
      <c r="N5" s="81">
        <f t="shared" si="1"/>
        <v>44.599738371425978</v>
      </c>
      <c r="O5" s="81">
        <f t="shared" si="1"/>
        <v>45.215338524194493</v>
      </c>
      <c r="P5" s="81">
        <f t="shared" si="1"/>
        <v>43.243695873448502</v>
      </c>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row>
    <row r="6" spans="1:52" s="2" customFormat="1" ht="15" customHeight="1" x14ac:dyDescent="0.25">
      <c r="A6" s="181"/>
      <c r="B6" s="54" t="s">
        <v>181</v>
      </c>
      <c r="C6" s="55" t="s">
        <v>182</v>
      </c>
      <c r="D6" s="182" t="s">
        <v>300</v>
      </c>
      <c r="E6" s="183"/>
      <c r="F6" s="183"/>
      <c r="G6" s="183"/>
      <c r="H6" s="183"/>
      <c r="I6" s="183"/>
      <c r="J6" s="183"/>
      <c r="K6" s="183"/>
      <c r="L6" s="183"/>
      <c r="M6" s="183"/>
      <c r="N6" s="183"/>
      <c r="O6" s="183"/>
      <c r="P6" s="184"/>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row>
    <row r="7" spans="1:52" s="2" customFormat="1" x14ac:dyDescent="0.25">
      <c r="A7" s="181"/>
      <c r="B7" s="54" t="s">
        <v>5</v>
      </c>
      <c r="C7" s="55" t="s">
        <v>23</v>
      </c>
      <c r="D7" s="82">
        <f>IFERROR((VLOOKUP(B7,'6'!$A$4:$H$19,2,FALSE)/1000),"")</f>
        <v>23455.178155064717</v>
      </c>
      <c r="E7" s="82">
        <f>IFERROR((VLOOKUP(B7,'6'!$A$4:$H$19,3,FALSE)/1000),"")</f>
        <v>23734.514146613339</v>
      </c>
      <c r="F7" s="82">
        <f>IFERROR((VLOOKUP(B7,'6'!$A$4:$H$19,4,FALSE)/1000),"")</f>
        <v>25998.079337134299</v>
      </c>
      <c r="G7" s="82">
        <f>IFERROR(VLOOKUP(B7,'6'!$A$4:$H$19,5,FALSE)/1000,"")</f>
        <v>31492.949717816162</v>
      </c>
      <c r="H7" s="82">
        <f>IFERROR(VLOOKUP(B7,'6'!$A$4:$F$19,6,FALSE)/1000,"")</f>
        <v>32139.819036981764</v>
      </c>
      <c r="I7" s="82">
        <f>IFERROR(VLOOKUP(B7,'6'!$A$4:$H$19,7,FALSE)/1000,"")</f>
        <v>32386.703448822343</v>
      </c>
      <c r="J7" s="83">
        <f>IFERROR((VLOOKUP(B7,'6'!$A$4:$H$19,8,FALSE)/1000),"")</f>
        <v>28629.781064313396</v>
      </c>
      <c r="K7" s="83">
        <f>IFERROR(((1/4)*D7+(3/4)*E7)/1000,"")</f>
        <v>23.664680148726184</v>
      </c>
      <c r="L7" s="83">
        <f t="shared" ref="L7:P10" si="2">IFERROR(((1/4)*E7+(3/4)*F7)/1000,"")</f>
        <v>25.432188039504059</v>
      </c>
      <c r="M7" s="83">
        <f t="shared" si="2"/>
        <v>30.119232122645695</v>
      </c>
      <c r="N7" s="83">
        <f t="shared" si="2"/>
        <v>31.978101707190362</v>
      </c>
      <c r="O7" s="83">
        <f t="shared" si="2"/>
        <v>32.324982345862196</v>
      </c>
      <c r="P7" s="83">
        <f t="shared" si="2"/>
        <v>29.569011660440633</v>
      </c>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row>
    <row r="8" spans="1:52" s="2" customFormat="1" ht="30" x14ac:dyDescent="0.25">
      <c r="A8" s="181"/>
      <c r="B8" s="54" t="s">
        <v>6</v>
      </c>
      <c r="C8" s="55" t="s">
        <v>24</v>
      </c>
      <c r="D8" s="82" t="str">
        <f>IFERROR((VLOOKUP(B8,'6'!$A$4:$H$19,2,FALSE)/1000),"")</f>
        <v/>
      </c>
      <c r="E8" s="82" t="str">
        <f>IFERROR((VLOOKUP(B8,'6'!$A$4:$H$19,3,FALSE)/1000),"")</f>
        <v/>
      </c>
      <c r="F8" s="82" t="str">
        <f>IFERROR((VLOOKUP(B8,'6'!$A$4:$H$19,4,FALSE)/1000),"")</f>
        <v/>
      </c>
      <c r="G8" s="82" t="str">
        <f>IFERROR(VLOOKUP(B8,'6'!$A$4:$H$19,5,FALSE)/1000,"")</f>
        <v/>
      </c>
      <c r="H8" s="82" t="str">
        <f>IFERROR(VLOOKUP(B8,'6'!$A$4:$F$19,6,FALSE)/1000,"")</f>
        <v/>
      </c>
      <c r="I8" s="82" t="str">
        <f>IFERROR(VLOOKUP(B8,'6'!$A$4:$H$19,7,FALSE)/1000,"")</f>
        <v/>
      </c>
      <c r="J8" s="83" t="str">
        <f>IFERROR((VLOOKUP(B8,'6'!$A$4:$H$19,8,FALSE)/1000),"")</f>
        <v/>
      </c>
      <c r="K8" s="83" t="str">
        <f t="shared" ref="K8:K10" si="3">IFERROR(((1/4)*D8+(3/4)*E8)/1000,"")</f>
        <v/>
      </c>
      <c r="L8" s="83" t="str">
        <f t="shared" si="2"/>
        <v/>
      </c>
      <c r="M8" s="83" t="str">
        <f t="shared" si="2"/>
        <v/>
      </c>
      <c r="N8" s="83" t="str">
        <f t="shared" si="2"/>
        <v/>
      </c>
      <c r="O8" s="83" t="str">
        <f t="shared" si="2"/>
        <v/>
      </c>
      <c r="P8" s="83" t="str">
        <f t="shared" si="2"/>
        <v/>
      </c>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row>
    <row r="9" spans="1:52" s="2" customFormat="1" x14ac:dyDescent="0.25">
      <c r="A9" s="181"/>
      <c r="B9" s="56" t="s">
        <v>7</v>
      </c>
      <c r="C9" s="55" t="s">
        <v>25</v>
      </c>
      <c r="D9" s="82">
        <f>IFERROR((VLOOKUP(B9,'6'!$A$4:$H$19,2,FALSE)/1000),"")</f>
        <v>101.98929601528492</v>
      </c>
      <c r="E9" s="82">
        <f>IFERROR((VLOOKUP(B9,'6'!$A$4:$H$19,3,FALSE)/1000),"")</f>
        <v>958.86788250740267</v>
      </c>
      <c r="F9" s="82">
        <f>IFERROR((VLOOKUP(B9,'6'!$A$4:$H$19,4,FALSE)/1000),"")</f>
        <v>576.76678535994733</v>
      </c>
      <c r="G9" s="82">
        <f>IFERROR(VLOOKUP(B9,'6'!$A$4:$H$19,5,FALSE)/1000,"")</f>
        <v>1168.2221700128637</v>
      </c>
      <c r="H9" s="82">
        <f>IFERROR(VLOOKUP(B9,'6'!$A$4:$F$19,6,FALSE)/1000,"")</f>
        <v>696.28834942603658</v>
      </c>
      <c r="I9" s="82">
        <f>IFERROR(VLOOKUP(B9,'6'!$A$4:$H$19,7,FALSE)/1000,"")</f>
        <v>799.97833399630463</v>
      </c>
      <c r="J9" s="83">
        <f>IFERROR((VLOOKUP(B9,'6'!$A$4:$H$19,8,FALSE)/1000),"")</f>
        <v>1439.148648164678</v>
      </c>
      <c r="K9" s="83">
        <f t="shared" si="3"/>
        <v>0.74464823588437323</v>
      </c>
      <c r="L9" s="83">
        <f t="shared" si="2"/>
        <v>0.67229205964681116</v>
      </c>
      <c r="M9" s="83">
        <f t="shared" si="2"/>
        <v>1.0203583238496345</v>
      </c>
      <c r="N9" s="83">
        <f t="shared" si="2"/>
        <v>0.8142718045727434</v>
      </c>
      <c r="O9" s="83">
        <f t="shared" si="2"/>
        <v>0.77405583785373755</v>
      </c>
      <c r="P9" s="83">
        <f t="shared" si="2"/>
        <v>1.2793560696225845</v>
      </c>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row>
    <row r="10" spans="1:52" s="2" customFormat="1" x14ac:dyDescent="0.25">
      <c r="A10" s="181"/>
      <c r="B10" s="56" t="s">
        <v>8</v>
      </c>
      <c r="C10" s="55" t="s">
        <v>26</v>
      </c>
      <c r="D10" s="82">
        <f>IFERROR((VLOOKUP(B10,'6'!$A$4:$H$19,2,FALSE)/1000),"")</f>
        <v>9966.8150442895203</v>
      </c>
      <c r="E10" s="82">
        <f>IFERROR((VLOOKUP(B10,'6'!$A$4:$H$19,3,FALSE)/1000),"")</f>
        <v>10303.484080095901</v>
      </c>
      <c r="F10" s="82">
        <f>IFERROR((VLOOKUP(B10,'6'!$A$4:$H$19,4,FALSE)/1000),"")</f>
        <v>10767.10131528282</v>
      </c>
      <c r="G10" s="82">
        <f>IFERROR(VLOOKUP(B10,'6'!$A$4:$H$19,5,FALSE)/1000,"")</f>
        <v>11416.018589960908</v>
      </c>
      <c r="H10" s="82">
        <f>IFERROR(VLOOKUP(B10,'6'!$A$4:$F$19,6,FALSE)/1000,"")</f>
        <v>11937.8136162302</v>
      </c>
      <c r="I10" s="82">
        <f>IFERROR(VLOOKUP(B10,'6'!$A$4:$H$19,7,FALSE)/1000,"")</f>
        <v>12175.79591522802</v>
      </c>
      <c r="J10" s="83">
        <f>IFERROR((VLOOKUP(B10,'6'!$A$4:$H$19,8,FALSE)/1000),"")</f>
        <v>12468.505552771039</v>
      </c>
      <c r="K10" s="83">
        <f t="shared" si="3"/>
        <v>10.219316821144306</v>
      </c>
      <c r="L10" s="83">
        <f t="shared" si="2"/>
        <v>10.651197006486091</v>
      </c>
      <c r="M10" s="83">
        <f t="shared" si="2"/>
        <v>11.253789271291385</v>
      </c>
      <c r="N10" s="83">
        <f t="shared" si="2"/>
        <v>11.807364859662878</v>
      </c>
      <c r="O10" s="83">
        <f t="shared" si="2"/>
        <v>12.116300340478563</v>
      </c>
      <c r="P10" s="83">
        <f t="shared" si="2"/>
        <v>12.395328143385287</v>
      </c>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row>
    <row r="11" spans="1:52" s="2" customFormat="1" x14ac:dyDescent="0.25">
      <c r="A11" s="181"/>
      <c r="B11" s="78" t="s">
        <v>12</v>
      </c>
      <c r="C11" s="84" t="s">
        <v>0</v>
      </c>
      <c r="D11" s="80">
        <f t="shared" ref="D11:G11" si="4">SUM(D12:D27)</f>
        <v>253330.4173748325</v>
      </c>
      <c r="E11" s="80">
        <f t="shared" si="4"/>
        <v>297234.03868086886</v>
      </c>
      <c r="F11" s="80">
        <f t="shared" si="4"/>
        <v>305703.40500434476</v>
      </c>
      <c r="G11" s="80">
        <f t="shared" si="4"/>
        <v>339536.85913567187</v>
      </c>
      <c r="H11" s="80">
        <f t="shared" ref="H11:P11" si="5">SUM(H12:H27)</f>
        <v>293803.73579605174</v>
      </c>
      <c r="I11" s="80">
        <f t="shared" si="5"/>
        <v>302486.60251640435</v>
      </c>
      <c r="J11" s="80">
        <f t="shared" si="5"/>
        <v>355521.40468552615</v>
      </c>
      <c r="K11" s="80">
        <f t="shared" si="5"/>
        <v>286.25813335435987</v>
      </c>
      <c r="L11" s="80">
        <f t="shared" si="5"/>
        <v>303.58606342347593</v>
      </c>
      <c r="M11" s="80">
        <f t="shared" si="5"/>
        <v>331.07849560284023</v>
      </c>
      <c r="N11" s="80">
        <f t="shared" si="5"/>
        <v>305.23701663095687</v>
      </c>
      <c r="O11" s="80">
        <f t="shared" si="5"/>
        <v>300.31588583631611</v>
      </c>
      <c r="P11" s="80">
        <f t="shared" si="5"/>
        <v>342.26270414324568</v>
      </c>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row>
    <row r="12" spans="1:52" s="2" customFormat="1" x14ac:dyDescent="0.25">
      <c r="A12" s="181"/>
      <c r="B12" s="54" t="s">
        <v>9</v>
      </c>
      <c r="C12" s="55" t="s">
        <v>27</v>
      </c>
      <c r="D12" s="82">
        <f>IFERROR((VLOOKUP(B12,'6'!$A$4:$H$19,2,FALSE)/1000),"")</f>
        <v>143267.47442783962</v>
      </c>
      <c r="E12" s="82">
        <f>IFERROR((VLOOKUP(B12,'6'!$A$4:$H$19,3,FALSE)/1000),"")</f>
        <v>174704.18996038139</v>
      </c>
      <c r="F12" s="82">
        <f>IFERROR((VLOOKUP(B12,'6'!$A$4:$H$19,4,FALSE)/1000),"")</f>
        <v>152786.36238109446</v>
      </c>
      <c r="G12" s="82">
        <f>IFERROR(VLOOKUP(B12,'6'!$A$4:$H$19,5,FALSE)/1000,"")</f>
        <v>178397.09879860168</v>
      </c>
      <c r="H12" s="82">
        <f>IFERROR(VLOOKUP(B12,'6'!$A$4:$F$19,6,FALSE)/1000,"")</f>
        <v>177470.21279997259</v>
      </c>
      <c r="I12" s="82">
        <f>IFERROR(VLOOKUP(B12,'6'!$A$4:$H$19,7,FALSE)/1000,"")</f>
        <v>176549.1348804486</v>
      </c>
      <c r="J12" s="83">
        <f>IFERROR((VLOOKUP(B12,'6'!$A$4:$H$19,8,FALSE)/1000),"")</f>
        <v>185398.22528673089</v>
      </c>
      <c r="K12" s="83">
        <f>IFERROR(((1/4)*D12+(3/4)*E12)/1000,"")</f>
        <v>166.84501107724597</v>
      </c>
      <c r="L12" s="83">
        <f t="shared" ref="L12:P24" si="6">IFERROR(((1/4)*E12+(3/4)*F12)/1000,"")</f>
        <v>158.26581927591619</v>
      </c>
      <c r="M12" s="83">
        <f t="shared" si="6"/>
        <v>171.9944146942249</v>
      </c>
      <c r="N12" s="83">
        <f t="shared" si="6"/>
        <v>177.70193429962984</v>
      </c>
      <c r="O12" s="83">
        <f t="shared" si="6"/>
        <v>176.77940436032961</v>
      </c>
      <c r="P12" s="83">
        <f t="shared" si="6"/>
        <v>183.18595268516029</v>
      </c>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row>
    <row r="13" spans="1:52" s="2" customFormat="1" x14ac:dyDescent="0.25">
      <c r="A13" s="181"/>
      <c r="B13" s="54" t="s">
        <v>10</v>
      </c>
      <c r="C13" s="55" t="s">
        <v>28</v>
      </c>
      <c r="D13" s="82">
        <f>IFERROR((VLOOKUP(B13,'6'!$A$4:$H$19,2,FALSE)/1000),"")</f>
        <v>1877.6783067968749</v>
      </c>
      <c r="E13" s="82">
        <f>IFERROR((VLOOKUP(B13,'6'!$A$4:$H$19,3,FALSE)/1000),"")</f>
        <v>378.10083112960865</v>
      </c>
      <c r="F13" s="82">
        <f>IFERROR((VLOOKUP(B13,'6'!$A$4:$H$19,4,FALSE)/1000),"")</f>
        <v>4813.8648826209865</v>
      </c>
      <c r="G13" s="82">
        <f>IFERROR(VLOOKUP(B13,'6'!$A$4:$H$19,5,FALSE)/1000,"")</f>
        <v>3878.3572983125559</v>
      </c>
      <c r="H13" s="82">
        <f>IFERROR(VLOOKUP(B13,'6'!$A$4:$F$19,6,FALSE)/1000,"")</f>
        <v>18613.880444204988</v>
      </c>
      <c r="I13" s="82">
        <f>IFERROR(VLOOKUP(B13,'6'!$A$4:$H$19,7,FALSE)/1000,"")</f>
        <v>24952.253561107682</v>
      </c>
      <c r="J13" s="83">
        <f>IFERROR((VLOOKUP(B13,'6'!$A$4:$H$19,8,FALSE)/1000),"")</f>
        <v>45702.931607757477</v>
      </c>
      <c r="K13" s="83">
        <f t="shared" ref="K13:K24" si="7">IFERROR(((1/4)*D13+(3/4)*E13)/1000,"")</f>
        <v>0.75299520004642517</v>
      </c>
      <c r="L13" s="83">
        <f t="shared" si="6"/>
        <v>3.7049238697481419</v>
      </c>
      <c r="M13" s="83">
        <f t="shared" si="6"/>
        <v>4.1122341943896634</v>
      </c>
      <c r="N13" s="83">
        <f t="shared" si="6"/>
        <v>14.92999965773188</v>
      </c>
      <c r="O13" s="83">
        <f t="shared" si="6"/>
        <v>23.36766028188201</v>
      </c>
      <c r="P13" s="83">
        <f t="shared" si="6"/>
        <v>40.515262096095029</v>
      </c>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row>
    <row r="14" spans="1:52" s="5" customFormat="1" x14ac:dyDescent="0.25">
      <c r="A14" s="181"/>
      <c r="B14" s="57" t="s">
        <v>11</v>
      </c>
      <c r="C14" s="58" t="s">
        <v>29</v>
      </c>
      <c r="D14" s="82">
        <f>IFERROR((VLOOKUP(B14,'6'!$A$4:$H$19,2,FALSE)/1000),"")</f>
        <v>11714.575369820224</v>
      </c>
      <c r="E14" s="82">
        <f>IFERROR((VLOOKUP(B14,'6'!$A$4:$H$19,3,FALSE)/1000),"")</f>
        <v>18708.467878285832</v>
      </c>
      <c r="F14" s="82">
        <f>IFERROR((VLOOKUP(B14,'6'!$A$4:$H$19,4,FALSE)/1000),"")</f>
        <v>15356.382357182028</v>
      </c>
      <c r="G14" s="82">
        <f>IFERROR(VLOOKUP(B14,'6'!$A$4:$H$19,5,FALSE)/1000,"")</f>
        <v>20965.561727568573</v>
      </c>
      <c r="H14" s="82">
        <f>IFERROR(VLOOKUP(B14,'6'!$A$4:$F$19,6,FALSE)/1000,"")</f>
        <v>19885.456081655255</v>
      </c>
      <c r="I14" s="82">
        <f>IFERROR(VLOOKUP(B14,'6'!$A$4:$H$19,7,FALSE)/1000,"")</f>
        <v>7987.0165573270287</v>
      </c>
      <c r="J14" s="83">
        <f>IFERROR((VLOOKUP(B14,'6'!$A$4:$H$19,8,FALSE)/1000),"")</f>
        <v>4527.3182715075391</v>
      </c>
      <c r="K14" s="83">
        <f t="shared" si="7"/>
        <v>16.959994751169429</v>
      </c>
      <c r="L14" s="83">
        <f t="shared" si="6"/>
        <v>16.194403737457979</v>
      </c>
      <c r="M14" s="83">
        <f t="shared" si="6"/>
        <v>19.563266884971938</v>
      </c>
      <c r="N14" s="83">
        <f t="shared" si="6"/>
        <v>20.155482493133583</v>
      </c>
      <c r="O14" s="83">
        <f t="shared" si="6"/>
        <v>10.961626438409086</v>
      </c>
      <c r="P14" s="83">
        <f t="shared" si="6"/>
        <v>5.3922428429624114</v>
      </c>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row>
    <row r="15" spans="1:52" s="2" customFormat="1" x14ac:dyDescent="0.25">
      <c r="A15" s="181"/>
      <c r="B15" s="54" t="s">
        <v>13</v>
      </c>
      <c r="C15" s="55" t="s">
        <v>30</v>
      </c>
      <c r="D15" s="82">
        <f>IFERROR((VLOOKUP(B15,'6'!$A$4:$H$19,2,FALSE)/1000),"")</f>
        <v>8956.7877904015222</v>
      </c>
      <c r="E15" s="82">
        <f>IFERROR((VLOOKUP(B15,'6'!$A$4:$H$19,3,FALSE)/1000),"")</f>
        <v>8384.3837705311234</v>
      </c>
      <c r="F15" s="82">
        <f>IFERROR((VLOOKUP(B15,'6'!$A$4:$H$19,4,FALSE)/1000),"")</f>
        <v>10211.247337318857</v>
      </c>
      <c r="G15" s="82">
        <f>IFERROR(VLOOKUP(B15,'6'!$A$4:$H$19,5,FALSE)/1000,"")</f>
        <v>12743.971326384913</v>
      </c>
      <c r="H15" s="82">
        <f>IFERROR(VLOOKUP(B15,'6'!$A$4:$F$19,6,FALSE)/1000,"")</f>
        <v>6717.1436980072813</v>
      </c>
      <c r="I15" s="82">
        <f>IFERROR(VLOOKUP(B15,'6'!$A$4:$H$19,7,FALSE)/1000,"")</f>
        <v>7940.9516033782702</v>
      </c>
      <c r="J15" s="83">
        <f>IFERROR((VLOOKUP(B15,'6'!$A$4:$H$19,8,FALSE)/1000),"")</f>
        <v>9865.8830344510225</v>
      </c>
      <c r="K15" s="83">
        <f t="shared" si="7"/>
        <v>8.5274847754987242</v>
      </c>
      <c r="L15" s="83">
        <f t="shared" si="6"/>
        <v>9.7545314456219234</v>
      </c>
      <c r="M15" s="83">
        <f t="shared" si="6"/>
        <v>12.1107903291184</v>
      </c>
      <c r="N15" s="83">
        <f t="shared" si="6"/>
        <v>8.2238506051016884</v>
      </c>
      <c r="O15" s="83">
        <f t="shared" si="6"/>
        <v>7.6349996270355227</v>
      </c>
      <c r="P15" s="83">
        <f t="shared" si="6"/>
        <v>9.3846501766828343</v>
      </c>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row>
    <row r="16" spans="1:52" s="2" customFormat="1" x14ac:dyDescent="0.25">
      <c r="A16" s="181"/>
      <c r="B16" s="54" t="s">
        <v>14</v>
      </c>
      <c r="C16" s="55" t="s">
        <v>31</v>
      </c>
      <c r="D16" s="82">
        <f>IFERROR((VLOOKUP(B16,'6'!$A$4:$H$19,2,FALSE)/1000),"")</f>
        <v>5105.7833063708185</v>
      </c>
      <c r="E16" s="82">
        <f>IFERROR((VLOOKUP(B16,'6'!$A$4:$H$19,3,FALSE)/1000),"")</f>
        <v>4179.0049635561636</v>
      </c>
      <c r="F16" s="82">
        <f>IFERROR((VLOOKUP(B16,'6'!$A$4:$H$19,4,FALSE)/1000),"")</f>
        <v>7935.7739980699935</v>
      </c>
      <c r="G16" s="82">
        <f>IFERROR(VLOOKUP(B16,'6'!$A$4:$H$19,5,FALSE)/1000,"")</f>
        <v>8712.6301813159007</v>
      </c>
      <c r="H16" s="82">
        <f>IFERROR(VLOOKUP(B16,'6'!$A$4:$F$19,6,FALSE)/1000,"")</f>
        <v>361.21557142921534</v>
      </c>
      <c r="I16" s="82">
        <f>IFERROR(VLOOKUP(B16,'6'!$A$4:$H$19,7,FALSE)/1000,"")</f>
        <v>8182.0126913531813</v>
      </c>
      <c r="J16" s="83">
        <f>IFERROR((VLOOKUP(B16,'6'!$A$4:$H$19,8,FALSE)/1000),"")</f>
        <v>-568.09736129081807</v>
      </c>
      <c r="K16" s="83">
        <f t="shared" si="7"/>
        <v>4.4106995492598271</v>
      </c>
      <c r="L16" s="83">
        <f t="shared" si="6"/>
        <v>6.9965817394415364</v>
      </c>
      <c r="M16" s="83">
        <f t="shared" si="6"/>
        <v>8.5184161355044239</v>
      </c>
      <c r="N16" s="83">
        <f t="shared" si="6"/>
        <v>2.4490692239008869</v>
      </c>
      <c r="O16" s="83">
        <f t="shared" si="6"/>
        <v>6.2268134113721896</v>
      </c>
      <c r="P16" s="83">
        <f t="shared" si="6"/>
        <v>1.6194301518701819</v>
      </c>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row>
    <row r="17" spans="1:52" s="2" customFormat="1" x14ac:dyDescent="0.25">
      <c r="A17" s="181"/>
      <c r="B17" s="54" t="s">
        <v>15</v>
      </c>
      <c r="C17" s="55" t="s">
        <v>32</v>
      </c>
      <c r="D17" s="82">
        <f>IFERROR((VLOOKUP(B17,'6'!$A$4:$H$19,2,FALSE)/1000),"")</f>
        <v>61303.360355680903</v>
      </c>
      <c r="E17" s="82">
        <f>IFERROR((VLOOKUP(B17,'6'!$A$4:$H$19,3,FALSE)/1000),"")</f>
        <v>70634.222728766719</v>
      </c>
      <c r="F17" s="82">
        <f>IFERROR((VLOOKUP(B17,'6'!$A$4:$H$19,4,FALSE)/1000),"")</f>
        <v>93567.034821759458</v>
      </c>
      <c r="G17" s="82">
        <f>IFERROR(VLOOKUP(B17,'6'!$A$4:$H$19,5,FALSE)/1000,"")</f>
        <v>88188.709561261421</v>
      </c>
      <c r="H17" s="82">
        <f>IFERROR(VLOOKUP(B17,'6'!$A$4:$F$19,6,FALSE)/1000,"")</f>
        <v>61711.255206619637</v>
      </c>
      <c r="I17" s="82">
        <f>IFERROR(VLOOKUP(B17,'6'!$A$4:$H$19,7,FALSE)/1000,"")</f>
        <v>63324.826123005441</v>
      </c>
      <c r="J17" s="83">
        <f>IFERROR((VLOOKUP(B17,'6'!$A$4:$H$19,8,FALSE)/1000),"")</f>
        <v>72537.665402760016</v>
      </c>
      <c r="K17" s="83">
        <f t="shared" si="7"/>
        <v>68.301507135495271</v>
      </c>
      <c r="L17" s="83">
        <f t="shared" si="6"/>
        <v>87.833831798511284</v>
      </c>
      <c r="M17" s="83">
        <f t="shared" si="6"/>
        <v>89.533290876385934</v>
      </c>
      <c r="N17" s="83">
        <f t="shared" si="6"/>
        <v>68.330618795280088</v>
      </c>
      <c r="O17" s="83">
        <f t="shared" si="6"/>
        <v>62.921433393908984</v>
      </c>
      <c r="P17" s="83">
        <f t="shared" si="6"/>
        <v>70.234455582821369</v>
      </c>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row>
    <row r="18" spans="1:52" s="2" customFormat="1" x14ac:dyDescent="0.25">
      <c r="A18" s="181"/>
      <c r="B18" s="54" t="s">
        <v>16</v>
      </c>
      <c r="C18" s="85" t="s">
        <v>38</v>
      </c>
      <c r="D18" s="82">
        <f>IFERROR((VLOOKUP(B18,'6'!$A$4:$H$19,2,FALSE)/1000),"")</f>
        <v>1536.1264518136813</v>
      </c>
      <c r="E18" s="82">
        <v>0</v>
      </c>
      <c r="F18" s="82">
        <f>IFERROR((VLOOKUP(B18,'6'!$A$4:$H$19,4,FALSE)/1000),"")</f>
        <v>833.45893109640667</v>
      </c>
      <c r="G18" s="82">
        <f>IFERROR(VLOOKUP(B18,'6'!$A$4:$H$19,5,FALSE)/1000,"")</f>
        <v>1108.725704785169</v>
      </c>
      <c r="H18" s="82">
        <v>0</v>
      </c>
      <c r="I18" s="82">
        <v>0</v>
      </c>
      <c r="J18" s="83">
        <f>IFERROR((VLOOKUP(B18,'6'!$A$4:$H$19,8,FALSE)/1000),"")</f>
        <v>1333.395229985179</v>
      </c>
      <c r="K18" s="83">
        <f t="shared" si="7"/>
        <v>0.38403161295342031</v>
      </c>
      <c r="L18" s="83">
        <f t="shared" si="6"/>
        <v>0.62509419832230506</v>
      </c>
      <c r="M18" s="83">
        <f t="shared" si="6"/>
        <v>1.0399090113629783</v>
      </c>
      <c r="N18" s="83">
        <f t="shared" si="6"/>
        <v>0.27718142619629227</v>
      </c>
      <c r="O18" s="83">
        <f t="shared" si="6"/>
        <v>0</v>
      </c>
      <c r="P18" s="83">
        <f t="shared" si="6"/>
        <v>1.0000464224888843</v>
      </c>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row>
    <row r="19" spans="1:52" s="2" customFormat="1" x14ac:dyDescent="0.25">
      <c r="A19" s="181"/>
      <c r="B19" s="54" t="s">
        <v>17</v>
      </c>
      <c r="C19" s="85" t="s">
        <v>39</v>
      </c>
      <c r="D19" s="82">
        <f>IFERROR((VLOOKUP(B19,'6'!$A$4:$H$19,2,FALSE)/1000),"")</f>
        <v>4905.8625951027534</v>
      </c>
      <c r="E19" s="82">
        <f>IFERROR((VLOOKUP(B19,'6'!$A$4:$H$19,3,FALSE)/1000),"")</f>
        <v>3853.638182554344</v>
      </c>
      <c r="F19" s="82">
        <f>IFERROR((VLOOKUP(B19,'6'!$A$4:$H$19,4,FALSE)/1000),"")</f>
        <v>3396.7034205872615</v>
      </c>
      <c r="G19" s="82">
        <f>IFERROR(VLOOKUP(B19,'6'!$A$4:$H$19,5,FALSE)/1000,"")</f>
        <v>7271.626337687625</v>
      </c>
      <c r="H19" s="82">
        <f>IFERROR(VLOOKUP(B19,'6'!$A$4:$F$19,6,FALSE)/1000,"")</f>
        <v>-788.77465549726787</v>
      </c>
      <c r="I19" s="82">
        <f>IFERROR(VLOOKUP(B19,'6'!$A$4:$H$19,7,FALSE)/1000,"")</f>
        <v>1291.7249238600391</v>
      </c>
      <c r="J19" s="83">
        <f>IFERROR((VLOOKUP(B19,'6'!$A$4:$H$19,8,FALSE)/1000),"")</f>
        <v>21695.635489786364</v>
      </c>
      <c r="K19" s="83">
        <f t="shared" si="7"/>
        <v>4.1166942856914464</v>
      </c>
      <c r="L19" s="83">
        <f t="shared" si="6"/>
        <v>3.5109371110790315</v>
      </c>
      <c r="M19" s="83">
        <f t="shared" si="6"/>
        <v>6.3028956084125349</v>
      </c>
      <c r="N19" s="83">
        <f t="shared" si="6"/>
        <v>1.2263255927989554</v>
      </c>
      <c r="O19" s="83">
        <f t="shared" si="6"/>
        <v>0.77160002902071245</v>
      </c>
      <c r="P19" s="83">
        <f t="shared" si="6"/>
        <v>16.594657848304781</v>
      </c>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row>
    <row r="20" spans="1:52" s="2" customFormat="1" x14ac:dyDescent="0.25">
      <c r="A20" s="181"/>
      <c r="B20" s="54" t="s">
        <v>18</v>
      </c>
      <c r="C20" s="85" t="s">
        <v>37</v>
      </c>
      <c r="D20" s="82">
        <f>IFERROR((VLOOKUP(B20,'6'!$A$4:$H$19,2,FALSE)/1000),"")</f>
        <v>10.656793819760921</v>
      </c>
      <c r="E20" s="82">
        <f>IFERROR((VLOOKUP(B20,'6'!$A$4:$H$19,3,FALSE)/1000),"")</f>
        <v>18.357675841615912</v>
      </c>
      <c r="F20" s="82">
        <f>IFERROR((VLOOKUP(B20,'6'!$A$4:$H$19,4,FALSE)/1000),"")</f>
        <v>21.71364786737767</v>
      </c>
      <c r="G20" s="82">
        <f>IFERROR(VLOOKUP(B20,'6'!$A$4:$H$19,5,FALSE)/1000,"")</f>
        <v>75.889949561499975</v>
      </c>
      <c r="H20" s="82">
        <f>IFERROR(VLOOKUP(B20,'6'!$A$4:$F$19,6,FALSE)/1000,"")</f>
        <v>42.349058646983266</v>
      </c>
      <c r="I20" s="82">
        <f>IFERROR(VLOOKUP(B20,'6'!$A$4:$H$19,7,FALSE)/1000,"")</f>
        <v>40.782486203340063</v>
      </c>
      <c r="J20" s="83">
        <f>IFERROR((VLOOKUP(B20,'6'!$A$4:$H$19,8,FALSE)/1000),"")</f>
        <v>11.7543592476038</v>
      </c>
      <c r="K20" s="83">
        <f t="shared" si="7"/>
        <v>1.6432455336152164E-2</v>
      </c>
      <c r="L20" s="83">
        <f t="shared" si="6"/>
        <v>2.0874654860937231E-2</v>
      </c>
      <c r="M20" s="83">
        <f t="shared" si="6"/>
        <v>6.2345874137969395E-2</v>
      </c>
      <c r="N20" s="83">
        <f t="shared" si="6"/>
        <v>5.0734281375612443E-2</v>
      </c>
      <c r="O20" s="83">
        <f t="shared" si="6"/>
        <v>4.1174129314250865E-2</v>
      </c>
      <c r="P20" s="83">
        <f t="shared" si="6"/>
        <v>1.9011390986537865E-2</v>
      </c>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row>
    <row r="21" spans="1:52" s="2" customFormat="1" x14ac:dyDescent="0.25">
      <c r="A21" s="181"/>
      <c r="B21" s="54" t="s">
        <v>19</v>
      </c>
      <c r="C21" s="85" t="s">
        <v>36</v>
      </c>
      <c r="D21" s="82">
        <f>IFERROR((VLOOKUP(B21,'6'!$A$4:$H$19,2,FALSE)/1000),"")</f>
        <v>175.40827199390654</v>
      </c>
      <c r="E21" s="82">
        <f>IFERROR((VLOOKUP(B21,'6'!$A$4:$H$19,3,FALSE)/1000),"")</f>
        <v>44.227811770275089</v>
      </c>
      <c r="F21" s="82">
        <f>IFERROR((VLOOKUP(B21,'6'!$A$4:$H$19,4,FALSE)/1000),"")</f>
        <v>308.15142524754003</v>
      </c>
      <c r="G21" s="82">
        <f>IFERROR(VLOOKUP(B21,'6'!$A$4:$H$19,5,FALSE)/1000,"")</f>
        <v>384.34434841952805</v>
      </c>
      <c r="H21" s="82">
        <f>IFERROR(VLOOKUP(B21,'6'!$A$4:$F$19,6,FALSE)/1000,"")</f>
        <v>62.677679809684818</v>
      </c>
      <c r="I21" s="82">
        <f>IFERROR(VLOOKUP(B21,'6'!$A$4:$H$19,7,FALSE)/1000,"")</f>
        <v>81.703320536971646</v>
      </c>
      <c r="J21" s="83">
        <f>IFERROR((VLOOKUP(B21,'6'!$A$4:$H$19,8,FALSE)/1000),"")</f>
        <v>226.47871436594207</v>
      </c>
      <c r="K21" s="83">
        <f t="shared" si="7"/>
        <v>7.7022926826182947E-2</v>
      </c>
      <c r="L21" s="83">
        <f t="shared" si="6"/>
        <v>0.2421705218782238</v>
      </c>
      <c r="M21" s="83">
        <f t="shared" si="6"/>
        <v>0.36529611762653097</v>
      </c>
      <c r="N21" s="83">
        <f t="shared" si="6"/>
        <v>0.1430943469621456</v>
      </c>
      <c r="O21" s="83">
        <f t="shared" si="6"/>
        <v>7.6946910355149944E-2</v>
      </c>
      <c r="P21" s="83">
        <f t="shared" si="6"/>
        <v>0.19028486590869945</v>
      </c>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row>
    <row r="22" spans="1:52" s="2" customFormat="1" x14ac:dyDescent="0.25">
      <c r="A22" s="181"/>
      <c r="B22" s="54" t="s">
        <v>20</v>
      </c>
      <c r="C22" s="85" t="s">
        <v>35</v>
      </c>
      <c r="D22" s="82">
        <f>IFERROR((VLOOKUP(B22,'6'!$A$4:$H$19,2,FALSE)/1000),"")</f>
        <v>11.881132605815585</v>
      </c>
      <c r="E22" s="82">
        <f>IFERROR((VLOOKUP(B22,'6'!$A$4:$H$19,3,FALSE)/1000),"")</f>
        <v>2.1014910122232275</v>
      </c>
      <c r="F22" s="82">
        <f>IFERROR((VLOOKUP(B22,'6'!$A$4:$H$19,4,FALSE)/1000),"")</f>
        <v>1056.3834223757401</v>
      </c>
      <c r="G22" s="82">
        <f>IFERROR(VLOOKUP(B22,'6'!$A$4:$H$19,5,FALSE)/1000,"")</f>
        <v>6.7485981228124858</v>
      </c>
      <c r="H22" s="82">
        <v>0</v>
      </c>
      <c r="I22" s="82">
        <v>0</v>
      </c>
      <c r="J22" s="83">
        <f>IFERROR((VLOOKUP(B22,'6'!$A$4:$H$19,8,FALSE)/1000),"")</f>
        <v>5.3209862511930366</v>
      </c>
      <c r="K22" s="83">
        <f t="shared" si="7"/>
        <v>4.5464014106213167E-3</v>
      </c>
      <c r="L22" s="83">
        <f t="shared" si="6"/>
        <v>0.79281293953486076</v>
      </c>
      <c r="M22" s="83">
        <f t="shared" si="6"/>
        <v>0.26915730418604439</v>
      </c>
      <c r="N22" s="83">
        <f t="shared" si="6"/>
        <v>1.6871495307031214E-3</v>
      </c>
      <c r="O22" s="83">
        <f t="shared" si="6"/>
        <v>0</v>
      </c>
      <c r="P22" s="83">
        <f t="shared" si="6"/>
        <v>3.990739688394777E-3</v>
      </c>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row>
    <row r="23" spans="1:52" s="5" customFormat="1" x14ac:dyDescent="0.25">
      <c r="A23" s="181"/>
      <c r="B23" s="57" t="s">
        <v>21</v>
      </c>
      <c r="C23" s="86" t="s">
        <v>34</v>
      </c>
      <c r="D23" s="82">
        <f>IFERROR((VLOOKUP(B23,'6'!$A$4:$H$19,2,FALSE)/1000),"")</f>
        <v>12685.237583635982</v>
      </c>
      <c r="E23" s="82">
        <f>IFERROR((VLOOKUP(B23,'6'!$A$4:$H$19,3,FALSE)/1000),"")</f>
        <v>14702.936533827826</v>
      </c>
      <c r="F23" s="82">
        <f>IFERROR((VLOOKUP(B23,'6'!$A$4:$H$19,4,FALSE)/1000),"")</f>
        <v>15157.140363586213</v>
      </c>
      <c r="G23" s="82">
        <f>IFERROR(VLOOKUP(B23,'6'!$A$4:$H$19,5,FALSE)/1000,"")</f>
        <v>13993.855628515847</v>
      </c>
      <c r="H23" s="82">
        <f>IFERROR(VLOOKUP(B23,'6'!$A$4:$F$19,6,FALSE)/1000,"")</f>
        <v>8677.6542960598199</v>
      </c>
      <c r="I23" s="82">
        <f>IFERROR(VLOOKUP(B23,'6'!$A$4:$H$19,7,FALSE)/1000,"")</f>
        <v>10190.538358606223</v>
      </c>
      <c r="J23" s="83">
        <f>IFERROR((VLOOKUP(B23,'6'!$A$4:$H$19,8,FALSE)/1000),"")</f>
        <v>11528.622786158718</v>
      </c>
      <c r="K23" s="83">
        <f t="shared" si="7"/>
        <v>14.198511796279865</v>
      </c>
      <c r="L23" s="83">
        <f t="shared" si="6"/>
        <v>15.043589406146618</v>
      </c>
      <c r="M23" s="83">
        <f t="shared" si="6"/>
        <v>14.284676812283438</v>
      </c>
      <c r="N23" s="83">
        <f t="shared" si="6"/>
        <v>10.006704629173827</v>
      </c>
      <c r="O23" s="83">
        <f t="shared" si="6"/>
        <v>9.8123173429696209</v>
      </c>
      <c r="P23" s="83">
        <f t="shared" si="6"/>
        <v>11.194101679270593</v>
      </c>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row>
    <row r="24" spans="1:52" s="2" customFormat="1" x14ac:dyDescent="0.25">
      <c r="A24" s="181"/>
      <c r="B24" s="54" t="s">
        <v>22</v>
      </c>
      <c r="C24" s="85" t="s">
        <v>33</v>
      </c>
      <c r="D24" s="82">
        <f>IFERROR((VLOOKUP(B24,'6'!$A$4:$H$19,2,FALSE)/1000),"")</f>
        <v>1779.5849889506237</v>
      </c>
      <c r="E24" s="82">
        <f>IFERROR((VLOOKUP(B24,'6'!$A$4:$H$19,3,FALSE)/1000),"")</f>
        <v>1624.4068532118065</v>
      </c>
      <c r="F24" s="82">
        <f>IFERROR((VLOOKUP(B24,'6'!$A$4:$H$19,4,FALSE)/1000),"")</f>
        <v>259.18801553850295</v>
      </c>
      <c r="G24" s="82">
        <f>IFERROR(VLOOKUP(B24,'6'!$A$4:$H$19,5,FALSE)/1000,"")</f>
        <v>3809.3396751343998</v>
      </c>
      <c r="H24" s="82">
        <f>IFERROR(VLOOKUP(B24,'6'!$A$4:$F$19,6,FALSE)/1000,"")</f>
        <v>1050.6656151435923</v>
      </c>
      <c r="I24" s="82">
        <f>IFERROR(VLOOKUP(B24,'6'!$A$4:$H$19,7,FALSE)/1000,"")</f>
        <v>1945.6580105775361</v>
      </c>
      <c r="J24" s="83">
        <f>IFERROR((VLOOKUP(B24,'6'!$A$4:$H$19,8,FALSE)/1000),"")</f>
        <v>3256.2708778150604</v>
      </c>
      <c r="K24" s="83">
        <f t="shared" si="7"/>
        <v>1.6632013871465108</v>
      </c>
      <c r="L24" s="83">
        <f t="shared" si="6"/>
        <v>0.60049272495682882</v>
      </c>
      <c r="M24" s="83">
        <f t="shared" si="6"/>
        <v>2.9218017602354251</v>
      </c>
      <c r="N24" s="83">
        <f t="shared" si="6"/>
        <v>1.7403341301412942</v>
      </c>
      <c r="O24" s="83">
        <f t="shared" si="6"/>
        <v>1.7219099117190504</v>
      </c>
      <c r="P24" s="83">
        <f t="shared" si="6"/>
        <v>2.9286176610056791</v>
      </c>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row>
    <row r="25" spans="1:52" s="2" customFormat="1" x14ac:dyDescent="0.25">
      <c r="A25" s="181"/>
      <c r="B25" s="54" t="s">
        <v>185</v>
      </c>
      <c r="C25" s="85" t="s">
        <v>188</v>
      </c>
      <c r="D25" s="185" t="s">
        <v>300</v>
      </c>
      <c r="E25" s="186"/>
      <c r="F25" s="186"/>
      <c r="G25" s="186"/>
      <c r="H25" s="186"/>
      <c r="I25" s="186"/>
      <c r="J25" s="186"/>
      <c r="K25" s="186"/>
      <c r="L25" s="186"/>
      <c r="M25" s="186"/>
      <c r="N25" s="186"/>
      <c r="O25" s="186"/>
      <c r="P25" s="18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row>
    <row r="26" spans="1:52" s="2" customFormat="1" x14ac:dyDescent="0.25">
      <c r="A26" s="181"/>
      <c r="B26" s="54" t="s">
        <v>186</v>
      </c>
      <c r="C26" s="85" t="s">
        <v>189</v>
      </c>
      <c r="D26" s="188"/>
      <c r="E26" s="189"/>
      <c r="F26" s="189"/>
      <c r="G26" s="189"/>
      <c r="H26" s="189"/>
      <c r="I26" s="189"/>
      <c r="J26" s="189"/>
      <c r="K26" s="189"/>
      <c r="L26" s="189"/>
      <c r="M26" s="189"/>
      <c r="N26" s="189"/>
      <c r="O26" s="189"/>
      <c r="P26" s="190"/>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row>
    <row r="27" spans="1:52" s="2" customFormat="1" x14ac:dyDescent="0.25">
      <c r="A27" s="181"/>
      <c r="B27" s="54" t="s">
        <v>187</v>
      </c>
      <c r="C27" s="85" t="s">
        <v>190</v>
      </c>
      <c r="D27" s="191"/>
      <c r="E27" s="192"/>
      <c r="F27" s="192"/>
      <c r="G27" s="192"/>
      <c r="H27" s="192"/>
      <c r="I27" s="192"/>
      <c r="J27" s="192"/>
      <c r="K27" s="192"/>
      <c r="L27" s="192"/>
      <c r="M27" s="192"/>
      <c r="N27" s="192"/>
      <c r="O27" s="192"/>
      <c r="P27" s="193"/>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row>
    <row r="28" spans="1:52" x14ac:dyDescent="0.25">
      <c r="A28" s="180" t="s">
        <v>4</v>
      </c>
      <c r="B28" s="87" t="s">
        <v>108</v>
      </c>
      <c r="C28" s="79" t="s">
        <v>1</v>
      </c>
      <c r="D28" s="80">
        <f t="shared" ref="D28:F28" si="8">SUM(D29:D37)</f>
        <v>70125.850925982741</v>
      </c>
      <c r="E28" s="80">
        <f t="shared" si="8"/>
        <v>72909.332357736217</v>
      </c>
      <c r="F28" s="80">
        <f t="shared" si="8"/>
        <v>78097.642939341647</v>
      </c>
      <c r="G28" s="80">
        <f t="shared" ref="G28" si="9">SUM(G29:G37)</f>
        <v>86280.19245844816</v>
      </c>
      <c r="H28" s="80">
        <f t="shared" ref="H28:I28" si="10">SUM(H29:H37)</f>
        <v>94599.179663740055</v>
      </c>
      <c r="I28" s="80">
        <f t="shared" si="10"/>
        <v>97037.585606436507</v>
      </c>
      <c r="J28" s="81">
        <f t="shared" ref="J28:P28" si="11">SUM(J29:J37)</f>
        <v>107995.91786691699</v>
      </c>
      <c r="K28" s="81">
        <f t="shared" si="11"/>
        <v>72.213461999797858</v>
      </c>
      <c r="L28" s="81">
        <f t="shared" si="11"/>
        <v>76.800565293940281</v>
      </c>
      <c r="M28" s="81">
        <f t="shared" si="11"/>
        <v>84.234555078671519</v>
      </c>
      <c r="N28" s="81">
        <f t="shared" si="11"/>
        <v>92.519432862417048</v>
      </c>
      <c r="O28" s="81">
        <f t="shared" si="11"/>
        <v>96.427984120762389</v>
      </c>
      <c r="P28" s="81">
        <f t="shared" si="11"/>
        <v>105.2563348017969</v>
      </c>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row>
    <row r="29" spans="1:52" x14ac:dyDescent="0.25">
      <c r="A29" s="180"/>
      <c r="B29" s="88" t="s">
        <v>40</v>
      </c>
      <c r="C29" s="85" t="s">
        <v>115</v>
      </c>
      <c r="D29" s="89">
        <f>IFERROR(VLOOKUP(B29,'7'!$A$5:$C$30,2,FALSE)/1000,"")</f>
        <v>63036.8727</v>
      </c>
      <c r="E29" s="89">
        <f>IFERROR(VLOOKUP(B29,'7'!$A$5:$C$31,3,FALSE)/1000,"")</f>
        <v>67775.736600000004</v>
      </c>
      <c r="F29" s="82">
        <f>IFERROR(VLOOKUP(B29,'7'!$A$5:$H$31,4,FALSE)/1000,"")</f>
        <v>76747.878900000011</v>
      </c>
      <c r="G29" s="82">
        <f>IFERROR(VLOOKUP(B29,'7'!$A$5:$H$31,5,FALSE)/1000,"")</f>
        <v>84744.775500000003</v>
      </c>
      <c r="H29" s="82">
        <f>IFERROR(VLOOKUP(B29,'7'!$A$5:$H$31,6,FALSE)/1000,"")</f>
        <v>89429.617200000008</v>
      </c>
      <c r="I29" s="82">
        <f>IFERROR(VLOOKUP(B29,'7'!$A$5:$H$31,7,FALSE)/1000,"")</f>
        <v>95206.072499999995</v>
      </c>
      <c r="J29" s="83">
        <f>IFERROR(VLOOKUP(B29,'7'!$A$5:$H$31,8,FALSE)/1000,"")</f>
        <v>97215.633900000001</v>
      </c>
      <c r="K29" s="83">
        <f>IFERROR(((1/4)*D29+(3/4)*E29)/1000,"")</f>
        <v>66.591020624999999</v>
      </c>
      <c r="L29" s="83">
        <f t="shared" ref="L29:P37" si="12">IFERROR(((1/4)*E29+(3/4)*F29)/1000,"")</f>
        <v>74.50484332500001</v>
      </c>
      <c r="M29" s="83">
        <f t="shared" si="12"/>
        <v>82.745551350000014</v>
      </c>
      <c r="N29" s="83">
        <f t="shared" si="12"/>
        <v>88.258406775000012</v>
      </c>
      <c r="O29" s="83">
        <f t="shared" si="12"/>
        <v>93.761958675000002</v>
      </c>
      <c r="P29" s="83">
        <f t="shared" si="12"/>
        <v>96.713243550000001</v>
      </c>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row>
    <row r="30" spans="1:52" x14ac:dyDescent="0.25">
      <c r="A30" s="180"/>
      <c r="B30" s="88" t="s">
        <v>41</v>
      </c>
      <c r="C30" s="85" t="s">
        <v>116</v>
      </c>
      <c r="D30" s="89">
        <f>IFERROR(VLOOKUP(B30,'7'!$A$5:$C$30,2,FALSE)/1000,"")</f>
        <v>855.78924915000016</v>
      </c>
      <c r="E30" s="89">
        <f>IFERROR(VLOOKUP(B30,'7'!$A$5:$C$31,3,FALSE)/1000,"")</f>
        <v>1392.7114376059501</v>
      </c>
      <c r="F30" s="82">
        <f>IFERROR(VLOOKUP(B30,'7'!$A$5:$H$31,4,FALSE)/1000,"")</f>
        <v>928.11367807499983</v>
      </c>
      <c r="G30" s="82">
        <f>IFERROR(VLOOKUP(B30,'7'!$A$5:$H$31,5,FALSE)/1000,"")</f>
        <v>1031.5810389000001</v>
      </c>
      <c r="H30" s="82">
        <f>IFERROR(VLOOKUP(B30,'7'!$A$5:$H$31,6,FALSE)/1000,"")</f>
        <v>1016.4475661999999</v>
      </c>
      <c r="I30" s="82">
        <f>IFERROR(VLOOKUP(B30,'7'!$A$5:$H$31,7,FALSE)/1000,"")</f>
        <v>957.53569064999988</v>
      </c>
      <c r="J30" s="83">
        <f>IFERROR(VLOOKUP(B30,'7'!$A$5:$H$31,8,FALSE)/1000,"")</f>
        <v>368.82438999999999</v>
      </c>
      <c r="K30" s="83">
        <f t="shared" ref="K30:K37" si="13">IFERROR(((1/4)*D30+(3/4)*E30)/1000,"")</f>
        <v>1.2584808904919629</v>
      </c>
      <c r="L30" s="83">
        <f t="shared" si="12"/>
        <v>1.0442631179577375</v>
      </c>
      <c r="M30" s="83">
        <f t="shared" si="12"/>
        <v>1.0057141986937501</v>
      </c>
      <c r="N30" s="83">
        <f t="shared" si="12"/>
        <v>1.0202309343749998</v>
      </c>
      <c r="O30" s="83">
        <f t="shared" si="12"/>
        <v>0.97226365953749982</v>
      </c>
      <c r="P30" s="83">
        <f t="shared" si="12"/>
        <v>0.5160022151625</v>
      </c>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row>
    <row r="31" spans="1:52" x14ac:dyDescent="0.25">
      <c r="A31" s="180"/>
      <c r="B31" s="88" t="s">
        <v>42</v>
      </c>
      <c r="C31" s="85" t="s">
        <v>117</v>
      </c>
      <c r="D31" s="89">
        <f>IFERROR(VLOOKUP(B31,'7'!$A$5:$C$30,2,FALSE)/1000,"")</f>
        <v>765.86495261076811</v>
      </c>
      <c r="E31" s="89">
        <f>IFERROR(VLOOKUP(B31,'7'!$A$5:$C$31,3,FALSE)/1000,"")</f>
        <v>317.35550066023012</v>
      </c>
      <c r="F31" s="82">
        <f>IFERROR(VLOOKUP(B31,'7'!$A$5:$H$31,4,FALSE)/1000,"")</f>
        <v>198.60522616239896</v>
      </c>
      <c r="G31" s="82">
        <f>IFERROR(VLOOKUP(B31,'7'!$A$5:$H$31,5,FALSE)/1000,"")</f>
        <v>179.78760357149201</v>
      </c>
      <c r="H31" s="82">
        <f>IFERROR(VLOOKUP(B31,'7'!$A$5:$H$31,6,FALSE)/1000,"")</f>
        <v>3884.5294003170534</v>
      </c>
      <c r="I31" s="82">
        <f>IFERROR(VLOOKUP(B31,'7'!$A$5:$H$31,7,FALSE)/1000,"")</f>
        <v>395.78624407199948</v>
      </c>
      <c r="J31" s="83">
        <f>IFERROR(VLOOKUP(B31,'7'!$A$5:$H$31,8,FALSE)/1000,"")</f>
        <v>425.29151626799984</v>
      </c>
      <c r="K31" s="83">
        <f t="shared" si="13"/>
        <v>0.42948286364786464</v>
      </c>
      <c r="L31" s="83">
        <f t="shared" si="12"/>
        <v>0.22829279478685674</v>
      </c>
      <c r="M31" s="83">
        <f t="shared" si="12"/>
        <v>0.18449200921921874</v>
      </c>
      <c r="N31" s="83">
        <f t="shared" si="12"/>
        <v>2.9583439511306633</v>
      </c>
      <c r="O31" s="83">
        <f t="shared" si="12"/>
        <v>1.2679720331332629</v>
      </c>
      <c r="P31" s="83">
        <f t="shared" si="12"/>
        <v>0.41791519821899975</v>
      </c>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row>
    <row r="32" spans="1:52" x14ac:dyDescent="0.25">
      <c r="A32" s="180"/>
      <c r="B32" s="88" t="s">
        <v>75</v>
      </c>
      <c r="C32" s="79" t="s">
        <v>118</v>
      </c>
      <c r="D32" s="89" t="str">
        <f>IFERROR(VLOOKUP(B32,'7'!$A$5:$C$30,2,FALSE)/1000,"")</f>
        <v/>
      </c>
      <c r="E32" s="89" t="str">
        <f>IFERROR(VLOOKUP(B32,'7'!$A$5:$C$31,3,FALSE)/1000,"")</f>
        <v/>
      </c>
      <c r="F32" s="82" t="str">
        <f>IFERROR(VLOOKUP(B32,'7'!$A$5:$H$31,4,FALSE)/1000,"")</f>
        <v/>
      </c>
      <c r="G32" s="82" t="str">
        <f>IFERROR(VLOOKUP(B32,'7'!$A$5:$H$31,5,FALSE)/1000,"")</f>
        <v/>
      </c>
      <c r="H32" s="82" t="str">
        <f>IFERROR(VLOOKUP(B32,'7'!$A$5:$H$31,6,FALSE)/1000,"")</f>
        <v/>
      </c>
      <c r="I32" s="82" t="str">
        <f>IFERROR(VLOOKUP(B32,'7'!$A$5:$H$31,7,FALSE)/1000,"")</f>
        <v/>
      </c>
      <c r="J32" s="83" t="str">
        <f>IFERROR(VLOOKUP(B32,'7'!$A$5:$H$31,8,FALSE)/1000,"")</f>
        <v/>
      </c>
      <c r="K32" s="83" t="str">
        <f t="shared" si="13"/>
        <v/>
      </c>
      <c r="L32" s="83" t="str">
        <f t="shared" si="12"/>
        <v/>
      </c>
      <c r="M32" s="83" t="str">
        <f t="shared" si="12"/>
        <v/>
      </c>
      <c r="N32" s="83" t="str">
        <f t="shared" si="12"/>
        <v/>
      </c>
      <c r="O32" s="83" t="str">
        <f t="shared" si="12"/>
        <v/>
      </c>
      <c r="P32" s="83" t="str">
        <f t="shared" si="12"/>
        <v/>
      </c>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row>
    <row r="33" spans="1:52" x14ac:dyDescent="0.25">
      <c r="A33" s="180"/>
      <c r="B33" s="88" t="s">
        <v>43</v>
      </c>
      <c r="C33" s="55" t="s">
        <v>120</v>
      </c>
      <c r="D33" s="89">
        <f>IFERROR(VLOOKUP(B33,'7'!$A$5:$C$30,2,FALSE)/1000,"")</f>
        <v>0.35081731235999997</v>
      </c>
      <c r="E33" s="89">
        <f>IFERROR(VLOOKUP(B33,'7'!$A$5:$C$31,3,FALSE)/1000,"")</f>
        <v>140.97979162999999</v>
      </c>
      <c r="F33" s="82">
        <f>IFERROR(VLOOKUP(B33,'7'!$A$5:$H$31,4,FALSE)/1000,"")</f>
        <v>141.78651591628</v>
      </c>
      <c r="G33" s="82">
        <f>IFERROR(VLOOKUP(B33,'7'!$A$5:$H$31,5,FALSE)/1000,"")</f>
        <v>63.98197410472001</v>
      </c>
      <c r="H33" s="82">
        <f>IFERROR(VLOOKUP(B33,'7'!$A$5:$H$31,6,FALSE)/1000,"")</f>
        <v>4.5968012389439998</v>
      </c>
      <c r="I33" s="82">
        <f>IFERROR(VLOOKUP(B33,'7'!$A$5:$H$31,7,FALSE)/1000,"")</f>
        <v>40.743934120111007</v>
      </c>
      <c r="J33" s="83">
        <f>IFERROR(VLOOKUP(B33,'7'!$A$5:$H$31,8,FALSE)/1000,"")</f>
        <v>5.9215173800000001</v>
      </c>
      <c r="K33" s="83">
        <f t="shared" si="13"/>
        <v>0.10582254805058999</v>
      </c>
      <c r="L33" s="83">
        <f t="shared" si="12"/>
        <v>0.14158483484470999</v>
      </c>
      <c r="M33" s="83">
        <f t="shared" si="12"/>
        <v>8.3433109557610005E-2</v>
      </c>
      <c r="N33" s="83">
        <f t="shared" si="12"/>
        <v>1.9443094455388003E-2</v>
      </c>
      <c r="O33" s="83">
        <f t="shared" si="12"/>
        <v>3.1707150899819257E-2</v>
      </c>
      <c r="P33" s="83">
        <f t="shared" si="12"/>
        <v>1.4627121565027752E-2</v>
      </c>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row>
    <row r="34" spans="1:52" x14ac:dyDescent="0.25">
      <c r="A34" s="180"/>
      <c r="B34" s="88" t="s">
        <v>44</v>
      </c>
      <c r="C34" s="55" t="s">
        <v>121</v>
      </c>
      <c r="D34" s="89">
        <f>IFERROR(VLOOKUP(B34,'7'!$A$5:$C$30,2,FALSE)/1000,"")</f>
        <v>2291.403095117344</v>
      </c>
      <c r="E34" s="89">
        <f>IFERROR(VLOOKUP(B34,'7'!$A$5:$C$31,3,FALSE)/1000,"")</f>
        <v>3148.168743309001</v>
      </c>
      <c r="F34" s="82">
        <f>IFERROR(VLOOKUP(B34,'7'!$A$5:$H$31,4,FALSE)/1000,"")</f>
        <v>63.830616538176024</v>
      </c>
      <c r="G34" s="82">
        <f>IFERROR(VLOOKUP(B34,'7'!$A$5:$H$31,5,FALSE)/1000,"")</f>
        <v>212.17391959799991</v>
      </c>
      <c r="H34" s="82">
        <f>IFERROR(VLOOKUP(B34,'7'!$A$5:$H$31,6,FALSE)/1000,"")</f>
        <v>246.36717501959998</v>
      </c>
      <c r="I34" s="82">
        <f>IFERROR(VLOOKUP(B34,'7'!$A$5:$H$31,7,FALSE)/1000,"")</f>
        <v>417.66192332940005</v>
      </c>
      <c r="J34" s="83">
        <f>IFERROR(VLOOKUP(B34,'7'!$A$5:$H$31,8,FALSE)/1000,"")</f>
        <v>9976.1957932690038</v>
      </c>
      <c r="K34" s="83">
        <f t="shared" si="13"/>
        <v>2.9339773312610871</v>
      </c>
      <c r="L34" s="83">
        <f t="shared" si="12"/>
        <v>0.83491514823088231</v>
      </c>
      <c r="M34" s="83">
        <f t="shared" si="12"/>
        <v>0.17508809383304397</v>
      </c>
      <c r="N34" s="83">
        <f t="shared" si="12"/>
        <v>0.23781886116419998</v>
      </c>
      <c r="O34" s="83">
        <f t="shared" si="12"/>
        <v>0.37483823625195006</v>
      </c>
      <c r="P34" s="83">
        <f t="shared" si="12"/>
        <v>7.5865623257841026</v>
      </c>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row>
    <row r="35" spans="1:52" x14ac:dyDescent="0.25">
      <c r="A35" s="180"/>
      <c r="B35" s="88" t="s">
        <v>45</v>
      </c>
      <c r="C35" s="55" t="s">
        <v>122</v>
      </c>
      <c r="D35" s="89">
        <f>IFERROR(VLOOKUP(B35,'7'!$A$5:$C$30,2,FALSE)/1000,"")</f>
        <v>2.95406729226</v>
      </c>
      <c r="E35" s="89">
        <f>IFERROR(VLOOKUP(B35,'7'!$A$5:$C$31,3,FALSE)/1000,"")</f>
        <v>51.894882981044994</v>
      </c>
      <c r="F35" s="82">
        <f>IFERROR(VLOOKUP(B35,'7'!$A$5:$H$31,4,FALSE)/1000,"")</f>
        <v>0.48714447478200007</v>
      </c>
      <c r="G35" s="82">
        <f>IFERROR(VLOOKUP(B35,'7'!$A$5:$H$31,5,FALSE)/1000,"")</f>
        <v>0.51361952393999999</v>
      </c>
      <c r="H35" s="82">
        <f>IFERROR(VLOOKUP(B35,'7'!$A$5:$H$31,6,FALSE)/1000,"")</f>
        <v>7.1975539437000011E-2</v>
      </c>
      <c r="I35" s="82">
        <f>IFERROR(VLOOKUP(B35,'7'!$A$5:$H$31,7,FALSE)/1000,"")</f>
        <v>4.9587150000000007E-3</v>
      </c>
      <c r="J35" s="83">
        <f>IFERROR(VLOOKUP(B35,'7'!$A$5:$H$31,8,FALSE)/1000,"")</f>
        <v>0</v>
      </c>
      <c r="K35" s="83">
        <f t="shared" si="13"/>
        <v>3.9659679058848749E-2</v>
      </c>
      <c r="L35" s="83">
        <f t="shared" si="12"/>
        <v>1.3339079101347748E-2</v>
      </c>
      <c r="M35" s="83">
        <f t="shared" si="12"/>
        <v>5.0700076165050001E-4</v>
      </c>
      <c r="N35" s="83">
        <f t="shared" si="12"/>
        <v>1.8238653556275E-4</v>
      </c>
      <c r="O35" s="83">
        <f t="shared" si="12"/>
        <v>2.1712921109250005E-5</v>
      </c>
      <c r="P35" s="83">
        <f t="shared" si="12"/>
        <v>1.2396787500000002E-6</v>
      </c>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row>
    <row r="36" spans="1:52" x14ac:dyDescent="0.25">
      <c r="A36" s="180"/>
      <c r="B36" s="88" t="s">
        <v>46</v>
      </c>
      <c r="C36" s="55" t="s">
        <v>119</v>
      </c>
      <c r="D36" s="89">
        <f>IFERROR(VLOOKUP(B36,'7'!$A$5:$C$30,2,FALSE)/1000,"")</f>
        <v>3172.6160445</v>
      </c>
      <c r="E36" s="89">
        <f>IFERROR(VLOOKUP(B36,'7'!$A$5:$C$31,3,FALSE)/1000,"")</f>
        <v>82.485401550000006</v>
      </c>
      <c r="F36" s="82">
        <f>IFERROR(VLOOKUP(B36,'7'!$A$5:$H$31,4,FALSE)/1000,"")</f>
        <v>16.940858175000002</v>
      </c>
      <c r="G36" s="82">
        <f>IFERROR(VLOOKUP(B36,'7'!$A$5:$H$31,5,FALSE)/1000,"")</f>
        <v>47.378802749999998</v>
      </c>
      <c r="H36" s="82">
        <f>IFERROR(VLOOKUP(B36,'7'!$A$5:$H$31,6,FALSE)/1000,"")</f>
        <v>17.549545425000002</v>
      </c>
      <c r="I36" s="82">
        <f>IFERROR(VLOOKUP(B36,'7'!$A$5:$H$31,7,FALSE)/1000,"")</f>
        <v>19.780355549999996</v>
      </c>
      <c r="J36" s="83">
        <f>IFERROR(VLOOKUP(B36,'7'!$A$5:$H$31,8,FALSE)/1000,"")</f>
        <v>4.0507499999999999</v>
      </c>
      <c r="K36" s="83">
        <f t="shared" si="13"/>
        <v>0.85501806228749999</v>
      </c>
      <c r="L36" s="83">
        <f t="shared" si="12"/>
        <v>3.332699401875E-2</v>
      </c>
      <c r="M36" s="83">
        <f t="shared" si="12"/>
        <v>3.9769316606250001E-2</v>
      </c>
      <c r="N36" s="83">
        <f t="shared" si="12"/>
        <v>2.5006859756250003E-2</v>
      </c>
      <c r="O36" s="83">
        <f t="shared" si="12"/>
        <v>1.9222653018749997E-2</v>
      </c>
      <c r="P36" s="83">
        <f t="shared" si="12"/>
        <v>7.9831513874999982E-3</v>
      </c>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row>
    <row r="37" spans="1:52" x14ac:dyDescent="0.25">
      <c r="A37" s="180"/>
      <c r="B37" s="88" t="s">
        <v>76</v>
      </c>
      <c r="C37" s="55" t="s">
        <v>119</v>
      </c>
      <c r="D37" s="89" t="str">
        <f>IFERROR(VLOOKUP(B37,'7'!$A$5:$C$30,2,FALSE)/1000,"")</f>
        <v/>
      </c>
      <c r="E37" s="89" t="str">
        <f>IFERROR(VLOOKUP(B37,'7'!$A$5:$C$31,3,FALSE)/1000,"")</f>
        <v/>
      </c>
      <c r="F37" s="82" t="str">
        <f>IFERROR(VLOOKUP(B37,'7'!$A$5:$H$31,4,FALSE)/1000,"")</f>
        <v/>
      </c>
      <c r="G37" s="82" t="str">
        <f>IFERROR(VLOOKUP(B37,'7'!$A$5:$H$31,5,FALSE)/1000,"")</f>
        <v/>
      </c>
      <c r="H37" s="82" t="str">
        <f>IFERROR(VLOOKUP(B37,'7'!$A$5:$H$31,6,FALSE)/1000,"")</f>
        <v/>
      </c>
      <c r="I37" s="82" t="str">
        <f>IFERROR(VLOOKUP(B37,'7'!$A$5:$H$31,7,FALSE)/1000,"")</f>
        <v/>
      </c>
      <c r="J37" s="83" t="str">
        <f>IFERROR(VLOOKUP(B37,'7'!$A$5:$H$31,8,FALSE)/1000,"")</f>
        <v/>
      </c>
      <c r="K37" s="83" t="str">
        <f t="shared" si="13"/>
        <v/>
      </c>
      <c r="L37" s="83" t="str">
        <f t="shared" si="12"/>
        <v/>
      </c>
      <c r="M37" s="83" t="str">
        <f t="shared" si="12"/>
        <v/>
      </c>
      <c r="N37" s="83" t="str">
        <f t="shared" si="12"/>
        <v/>
      </c>
      <c r="O37" s="83" t="str">
        <f t="shared" si="12"/>
        <v/>
      </c>
      <c r="P37" s="83" t="str">
        <f t="shared" si="12"/>
        <v/>
      </c>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row>
    <row r="38" spans="1:52" s="2" customFormat="1" x14ac:dyDescent="0.25">
      <c r="A38" s="180"/>
      <c r="B38" s="87" t="s">
        <v>107</v>
      </c>
      <c r="C38" s="79" t="s">
        <v>123</v>
      </c>
      <c r="D38" s="80">
        <f t="shared" ref="D38:J38" si="14">SUM(D39:D56)</f>
        <v>32994.836276394555</v>
      </c>
      <c r="E38" s="80">
        <f t="shared" si="14"/>
        <v>33319.63310983868</v>
      </c>
      <c r="F38" s="80">
        <f t="shared" si="14"/>
        <v>32888.468275033149</v>
      </c>
      <c r="G38" s="80">
        <f t="shared" si="14"/>
        <v>36144.375300634361</v>
      </c>
      <c r="H38" s="80">
        <f t="shared" si="14"/>
        <v>38665.829411123654</v>
      </c>
      <c r="I38" s="80">
        <f t="shared" si="14"/>
        <v>41697.810386403755</v>
      </c>
      <c r="J38" s="80">
        <f t="shared" si="14"/>
        <v>39323.779401525549</v>
      </c>
      <c r="K38" s="81">
        <f t="shared" ref="K38:P38" si="15">SUM(K39:K56)</f>
        <v>33.238433901477656</v>
      </c>
      <c r="L38" s="81">
        <f t="shared" si="15"/>
        <v>32.996259483734534</v>
      </c>
      <c r="M38" s="81">
        <f t="shared" si="15"/>
        <v>35.330398544234058</v>
      </c>
      <c r="N38" s="81">
        <f t="shared" si="15"/>
        <v>38.035465883501324</v>
      </c>
      <c r="O38" s="81">
        <f t="shared" si="15"/>
        <v>40.939815142583726</v>
      </c>
      <c r="P38" s="81">
        <f t="shared" si="15"/>
        <v>39.917287147745114</v>
      </c>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row>
    <row r="39" spans="1:52" s="2" customFormat="1" x14ac:dyDescent="0.25">
      <c r="A39" s="180"/>
      <c r="B39" s="88" t="s">
        <v>77</v>
      </c>
      <c r="C39" s="55" t="s">
        <v>124</v>
      </c>
      <c r="D39" s="89">
        <f>IFERROR(VLOOKUP(B39,'7'!$A$5:$C$30,2,FALSE)/1000,"")</f>
        <v>20951.788606394552</v>
      </c>
      <c r="E39" s="89">
        <f>IFERROR(VLOOKUP(B39,'7'!$A$5:$C$31,3,FALSE)/1000,"")</f>
        <v>20218.352049838686</v>
      </c>
      <c r="F39" s="82">
        <f>IFERROR(VLOOKUP(B39,'7'!$A$5:$H$31,4,FALSE)/1000,"")</f>
        <v>20266.679835033148</v>
      </c>
      <c r="G39" s="82">
        <f>IFERROR(VLOOKUP(B39,'7'!$A$5:$H$31,5,FALSE)/1000,"")</f>
        <v>21711.923057741355</v>
      </c>
      <c r="H39" s="82">
        <f>IFERROR(VLOOKUP(B39,'7'!$A$5:$H$31,6,FALSE)/1000,"")</f>
        <v>22597.658421123655</v>
      </c>
      <c r="I39" s="82">
        <f>IFERROR(VLOOKUP(B39,'7'!$A$5:$H$31,7,FALSE)/1000,"")</f>
        <v>23402.398496403752</v>
      </c>
      <c r="J39" s="83">
        <f>IFERROR(VLOOKUP(B39,'7'!$A$5:$H$31,8,FALSE)/1000,"")</f>
        <v>23156.238991925551</v>
      </c>
      <c r="K39" s="83">
        <f>IFERROR(((1/4)*D39+(3/4)*E39)/1000,"")</f>
        <v>20.401711188977654</v>
      </c>
      <c r="L39" s="83">
        <f t="shared" ref="L39:P40" si="16">IFERROR(((1/4)*E39+(3/4)*F39)/1000,"")</f>
        <v>20.254597888734533</v>
      </c>
      <c r="M39" s="83">
        <f t="shared" si="16"/>
        <v>21.350612252064305</v>
      </c>
      <c r="N39" s="83">
        <f t="shared" si="16"/>
        <v>22.376224580278077</v>
      </c>
      <c r="O39" s="83">
        <f t="shared" si="16"/>
        <v>23.201213477583725</v>
      </c>
      <c r="P39" s="83">
        <f t="shared" si="16"/>
        <v>23.217778868045102</v>
      </c>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row>
    <row r="40" spans="1:52" s="2" customFormat="1" x14ac:dyDescent="0.25">
      <c r="A40" s="180"/>
      <c r="B40" s="88" t="s">
        <v>78</v>
      </c>
      <c r="C40" s="55" t="s">
        <v>125</v>
      </c>
      <c r="D40" s="89">
        <f>IFERROR(VLOOKUP(B40,'7'!$A$5:$C$30,2,FALSE)/1000,"")</f>
        <v>245.3836</v>
      </c>
      <c r="E40" s="89">
        <f>IFERROR(VLOOKUP(B40,'7'!$A$5:$C$31,3,FALSE)/1000,"")</f>
        <v>496.38749999999999</v>
      </c>
      <c r="F40" s="82">
        <f>IFERROR(VLOOKUP(B40,'7'!$A$5:$H$31,4,FALSE)/1000,"")</f>
        <v>638.6</v>
      </c>
      <c r="G40" s="82">
        <f>IFERROR(VLOOKUP(B40,'7'!$A$5:$H$31,5,FALSE)/1000,"")</f>
        <v>589.18069289300001</v>
      </c>
      <c r="H40" s="82">
        <f>IFERROR(VLOOKUP(B40,'7'!$A$5:$H$31,6,FALSE)/1000,"")</f>
        <v>1334.24</v>
      </c>
      <c r="I40" s="82">
        <f>IFERROR(VLOOKUP(B40,'7'!$A$5:$H$31,7,FALSE)/1000,"")</f>
        <v>2218.0500000000002</v>
      </c>
      <c r="J40" s="83">
        <f>IFERROR(VLOOKUP(B40,'7'!$A$5:$H$31,8,FALSE)/1000,"")</f>
        <v>390.71691960000004</v>
      </c>
      <c r="K40" s="83">
        <f>IFERROR(((1/4)*D40+(3/4)*E40)/1000,"")</f>
        <v>0.43363652499999999</v>
      </c>
      <c r="L40" s="83">
        <f t="shared" si="16"/>
        <v>0.60304687499999998</v>
      </c>
      <c r="M40" s="83">
        <f t="shared" si="16"/>
        <v>0.60153551966974994</v>
      </c>
      <c r="N40" s="83">
        <f t="shared" si="16"/>
        <v>1.1479751732232502</v>
      </c>
      <c r="O40" s="83">
        <f t="shared" si="16"/>
        <v>1.9970975000000002</v>
      </c>
      <c r="P40" s="83">
        <f t="shared" si="16"/>
        <v>0.84755018970000018</v>
      </c>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row>
    <row r="41" spans="1:52" s="2" customFormat="1" x14ac:dyDescent="0.25">
      <c r="A41" s="180"/>
      <c r="B41" s="88" t="s">
        <v>79</v>
      </c>
      <c r="C41" s="55" t="s">
        <v>126</v>
      </c>
      <c r="D41" s="182" t="s">
        <v>301</v>
      </c>
      <c r="E41" s="183"/>
      <c r="F41" s="183"/>
      <c r="G41" s="183"/>
      <c r="H41" s="183"/>
      <c r="I41" s="183"/>
      <c r="J41" s="183"/>
      <c r="K41" s="183"/>
      <c r="L41" s="183"/>
      <c r="M41" s="183"/>
      <c r="N41" s="183"/>
      <c r="O41" s="183"/>
      <c r="P41" s="184"/>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row>
    <row r="42" spans="1:52" s="2" customFormat="1" x14ac:dyDescent="0.25">
      <c r="A42" s="180"/>
      <c r="B42" s="88" t="s">
        <v>80</v>
      </c>
      <c r="C42" s="55" t="s">
        <v>127</v>
      </c>
      <c r="D42" s="89">
        <f>IFERROR(VLOOKUP(B42,'7'!$A$5:$C$30,2,FALSE)/1000,"")</f>
        <v>337.59</v>
      </c>
      <c r="E42" s="89">
        <f>IFERROR(VLOOKUP(B42,'7'!$A$5:$C$31,3,FALSE)/1000,"")</f>
        <v>239.93999999999997</v>
      </c>
      <c r="F42" s="82">
        <f>IFERROR(VLOOKUP(B42,'7'!$A$5:$H$31,4,FALSE)/1000,"")</f>
        <v>234.35999999999996</v>
      </c>
      <c r="G42" s="82">
        <f>IFERROR(VLOOKUP(B42,'7'!$A$5:$H$31,5,FALSE)/1000,"")</f>
        <v>343.17</v>
      </c>
      <c r="H42" s="82">
        <f>IFERROR(VLOOKUP(B42,'7'!$A$5:$H$31,6,FALSE)/1000,"")</f>
        <v>343.17</v>
      </c>
      <c r="I42" s="82">
        <f>IFERROR(VLOOKUP(B42,'7'!$A$5:$H$31,7,FALSE)/1000,"")</f>
        <v>329.22</v>
      </c>
      <c r="J42" s="83">
        <f>IFERROR(VLOOKUP(B42,'7'!$A$5:$H$31,8,FALSE)/1000,"")</f>
        <v>276.20999999999992</v>
      </c>
      <c r="K42" s="83">
        <f>IFERROR(((1/4)*D42+(3/4)*E42)/1000,"")</f>
        <v>0.26435249999999999</v>
      </c>
      <c r="L42" s="83">
        <f t="shared" ref="L42:P52" si="17">IFERROR(((1/4)*E42+(3/4)*F42)/1000,"")</f>
        <v>0.23575499999999996</v>
      </c>
      <c r="M42" s="83">
        <f t="shared" si="17"/>
        <v>0.31596749999999996</v>
      </c>
      <c r="N42" s="83">
        <f t="shared" si="17"/>
        <v>0.34317000000000003</v>
      </c>
      <c r="O42" s="83">
        <f t="shared" si="17"/>
        <v>0.33270750000000004</v>
      </c>
      <c r="P42" s="83">
        <f t="shared" si="17"/>
        <v>0.28946249999999996</v>
      </c>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row>
    <row r="43" spans="1:52" s="2" customFormat="1" x14ac:dyDescent="0.25">
      <c r="A43" s="180"/>
      <c r="B43" s="88" t="s">
        <v>81</v>
      </c>
      <c r="C43" s="55" t="s">
        <v>128</v>
      </c>
      <c r="D43" s="89">
        <f>IFERROR(VLOOKUP(B43,'7'!$A$5:$C$30,2,FALSE)/1000,"")</f>
        <v>101.14500000000001</v>
      </c>
      <c r="E43" s="89">
        <f>IFERROR(VLOOKUP(B43,'7'!$A$5:$C$31,3,FALSE)/1000,"")</f>
        <v>107.15100000000001</v>
      </c>
      <c r="F43" s="82">
        <f>IFERROR(VLOOKUP(B43,'7'!$A$5:$H$31,4,FALSE)/1000,"")</f>
        <v>73.204999999999998</v>
      </c>
      <c r="G43" s="82">
        <f>IFERROR(VLOOKUP(B43,'7'!$A$5:$H$31,5,FALSE)/1000,"")</f>
        <v>24.222000000000005</v>
      </c>
      <c r="H43" s="82">
        <f>IFERROR(VLOOKUP(B43,'7'!$A$5:$H$31,6,FALSE)/1000,"")</f>
        <v>49.170000000000009</v>
      </c>
      <c r="I43" s="82">
        <f>IFERROR(VLOOKUP(B43,'7'!$A$5:$H$31,7,FALSE)/1000,"")</f>
        <v>73.028999999999996</v>
      </c>
      <c r="J43" s="83">
        <f>IFERROR(VLOOKUP(B43,'7'!$A$5:$H$31,8,FALSE)/1000,"")</f>
        <v>78.078000000000003</v>
      </c>
      <c r="K43" s="83">
        <f t="shared" ref="K43:K52" si="18">IFERROR(((1/4)*D43+(3/4)*E43)/1000,"")</f>
        <v>0.10564950000000002</v>
      </c>
      <c r="L43" s="83">
        <f t="shared" si="17"/>
        <v>8.16915E-2</v>
      </c>
      <c r="M43" s="83">
        <f t="shared" si="17"/>
        <v>3.646775E-2</v>
      </c>
      <c r="N43" s="83">
        <f t="shared" si="17"/>
        <v>4.2933000000000006E-2</v>
      </c>
      <c r="O43" s="83">
        <f t="shared" si="17"/>
        <v>6.7064250000000006E-2</v>
      </c>
      <c r="P43" s="83">
        <f t="shared" si="17"/>
        <v>7.6815750000000002E-2</v>
      </c>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row>
    <row r="44" spans="1:52" s="2" customFormat="1" x14ac:dyDescent="0.25">
      <c r="A44" s="180"/>
      <c r="B44" s="88" t="s">
        <v>82</v>
      </c>
      <c r="C44" s="55" t="s">
        <v>129</v>
      </c>
      <c r="D44" s="89">
        <f>IFERROR(VLOOKUP(B44,'7'!$A$5:$C$30,2,FALSE)/1000,"")</f>
        <v>87.144199999999998</v>
      </c>
      <c r="E44" s="89">
        <f>IFERROR(VLOOKUP(B44,'7'!$A$5:$C$31,3,FALSE)/1000,"")</f>
        <v>81.922749999999994</v>
      </c>
      <c r="F44" s="82">
        <f>IFERROR(VLOOKUP(B44,'7'!$A$5:$H$31,4,FALSE)/1000,"")</f>
        <v>73.7928</v>
      </c>
      <c r="G44" s="82">
        <f>IFERROR(VLOOKUP(B44,'7'!$A$5:$H$31,5,FALSE)/1000,"")</f>
        <v>84.928200000000004</v>
      </c>
      <c r="H44" s="82">
        <f>IFERROR(VLOOKUP(B44,'7'!$A$5:$H$31,6,FALSE)/1000,"")</f>
        <v>88.667699999999996</v>
      </c>
      <c r="I44" s="82">
        <f>IFERROR(VLOOKUP(B44,'7'!$A$5:$H$31,7,FALSE)/1000,"")</f>
        <v>72.213899999999995</v>
      </c>
      <c r="J44" s="83">
        <f>IFERROR(VLOOKUP(B44,'7'!$A$5:$H$31,8,FALSE)/1000,"")</f>
        <v>69.443899999999999</v>
      </c>
      <c r="K44" s="83">
        <f t="shared" si="18"/>
        <v>8.3228112499999993E-2</v>
      </c>
      <c r="L44" s="83">
        <f t="shared" si="17"/>
        <v>7.5825287500000005E-2</v>
      </c>
      <c r="M44" s="83">
        <f t="shared" si="17"/>
        <v>8.2144350000000005E-2</v>
      </c>
      <c r="N44" s="83">
        <f t="shared" si="17"/>
        <v>8.7732825E-2</v>
      </c>
      <c r="O44" s="83">
        <f t="shared" si="17"/>
        <v>7.6327350000000002E-2</v>
      </c>
      <c r="P44" s="83">
        <f t="shared" si="17"/>
        <v>7.0136400000000015E-2</v>
      </c>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row>
    <row r="45" spans="1:52" s="2" customFormat="1" x14ac:dyDescent="0.25">
      <c r="A45" s="180"/>
      <c r="B45" s="88" t="s">
        <v>83</v>
      </c>
      <c r="C45" s="55" t="s">
        <v>130</v>
      </c>
      <c r="D45" s="89">
        <f>IFERROR(VLOOKUP(B45,'7'!$A$5:$C$30,2,FALSE)/1000,"")</f>
        <v>286.77228000000002</v>
      </c>
      <c r="E45" s="89">
        <f>IFERROR(VLOOKUP(B45,'7'!$A$5:$C$31,3,FALSE)/1000,"")</f>
        <v>276.76038</v>
      </c>
      <c r="F45" s="82">
        <f>IFERROR(VLOOKUP(B45,'7'!$A$5:$H$31,4,FALSE)/1000,"")</f>
        <v>274.4889</v>
      </c>
      <c r="G45" s="82">
        <f>IFERROR(VLOOKUP(B45,'7'!$A$5:$H$31,5,FALSE)/1000,"")</f>
        <v>284.05092000000002</v>
      </c>
      <c r="H45" s="82">
        <f>IFERROR(VLOOKUP(B45,'7'!$A$5:$H$31,6,FALSE)/1000,"")</f>
        <v>317.22888</v>
      </c>
      <c r="I45" s="82">
        <f>IFERROR(VLOOKUP(B45,'7'!$A$5:$H$31,7,FALSE)/1000,"")</f>
        <v>332.69316000000003</v>
      </c>
      <c r="J45" s="83">
        <f>IFERROR(VLOOKUP(B45,'7'!$A$5:$H$31,8,FALSE)/1000,"")</f>
        <v>336.41502000000003</v>
      </c>
      <c r="K45" s="83">
        <f t="shared" si="18"/>
        <v>0.27926335500000005</v>
      </c>
      <c r="L45" s="83">
        <f t="shared" si="17"/>
        <v>0.27505676999999995</v>
      </c>
      <c r="M45" s="83">
        <f t="shared" si="17"/>
        <v>0.281660415</v>
      </c>
      <c r="N45" s="83">
        <f t="shared" si="17"/>
        <v>0.30893439</v>
      </c>
      <c r="O45" s="83">
        <f t="shared" si="17"/>
        <v>0.32882708999999999</v>
      </c>
      <c r="P45" s="83">
        <f t="shared" si="17"/>
        <v>0.33548455500000002</v>
      </c>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row>
    <row r="46" spans="1:52" s="2" customFormat="1" x14ac:dyDescent="0.25">
      <c r="A46" s="180"/>
      <c r="B46" s="88" t="s">
        <v>84</v>
      </c>
      <c r="C46" s="79" t="s">
        <v>131</v>
      </c>
      <c r="D46" s="89" t="str">
        <f>IFERROR(VLOOKUP(B46,'7'!$A$5:$C$30,2,FALSE)/1000,"")</f>
        <v/>
      </c>
      <c r="E46" s="89" t="str">
        <f>IFERROR(VLOOKUP(B46,'7'!$A$5:$C$31,3,FALSE)/1000,"")</f>
        <v/>
      </c>
      <c r="F46" s="82" t="str">
        <f>IFERROR(VLOOKUP(B46,'7'!$A$5:$H$31,4,FALSE)/1000,"")</f>
        <v/>
      </c>
      <c r="G46" s="82" t="str">
        <f>IFERROR(VLOOKUP(B46,'7'!$A$5:$H$31,5,FALSE)/1000,"")</f>
        <v/>
      </c>
      <c r="H46" s="82" t="str">
        <f>IFERROR(VLOOKUP(B46,'7'!$A$5:$H$31,6,FALSE)/1000,"")</f>
        <v/>
      </c>
      <c r="I46" s="82" t="str">
        <f>IFERROR(VLOOKUP(B46,'7'!$A$5:$H$31,7,FALSE)/1000,"")</f>
        <v/>
      </c>
      <c r="J46" s="83" t="str">
        <f>IFERROR(VLOOKUP(B46,'7'!$A$5:$H$31,8,FALSE)/1000,"")</f>
        <v/>
      </c>
      <c r="K46" s="83" t="str">
        <f t="shared" si="18"/>
        <v/>
      </c>
      <c r="L46" s="83" t="str">
        <f t="shared" si="17"/>
        <v/>
      </c>
      <c r="M46" s="83" t="str">
        <f t="shared" si="17"/>
        <v/>
      </c>
      <c r="N46" s="83" t="str">
        <f t="shared" si="17"/>
        <v/>
      </c>
      <c r="O46" s="83" t="str">
        <f t="shared" si="17"/>
        <v/>
      </c>
      <c r="P46" s="83" t="str">
        <f t="shared" si="17"/>
        <v/>
      </c>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row>
    <row r="47" spans="1:52" s="2" customFormat="1" x14ac:dyDescent="0.25">
      <c r="A47" s="180"/>
      <c r="B47" s="88" t="s">
        <v>47</v>
      </c>
      <c r="C47" s="55" t="s">
        <v>132</v>
      </c>
      <c r="D47" s="89">
        <f>IFERROR(VLOOKUP(B47,'7'!$A$5:$C$30,2,FALSE)/1000,"")</f>
        <v>456.85318999999998</v>
      </c>
      <c r="E47" s="89">
        <f>IFERROR(VLOOKUP(B47,'7'!$A$5:$C$31,3,FALSE)/1000,"")</f>
        <v>405.54469</v>
      </c>
      <c r="F47" s="82">
        <f>IFERROR(VLOOKUP(B47,'7'!$A$5:$H$31,4,FALSE)/1000,"")</f>
        <v>273.39936000000006</v>
      </c>
      <c r="G47" s="82">
        <f>IFERROR(VLOOKUP(B47,'7'!$A$5:$H$31,5,FALSE)/1000,"")</f>
        <v>381.44698999999997</v>
      </c>
      <c r="H47" s="82">
        <f>IFERROR(VLOOKUP(B47,'7'!$A$5:$H$31,6,FALSE)/1000,"")</f>
        <v>431.83309000000003</v>
      </c>
      <c r="I47" s="82">
        <f>IFERROR(VLOOKUP(B47,'7'!$A$5:$H$31,7,FALSE)/1000,"")</f>
        <v>414.99929000000003</v>
      </c>
      <c r="J47" s="83">
        <f>IFERROR(VLOOKUP(B47,'7'!$A$5:$H$31,8,FALSE)/1000,"")</f>
        <v>293.91122999999999</v>
      </c>
      <c r="K47" s="83">
        <f t="shared" si="18"/>
        <v>0.41837181500000004</v>
      </c>
      <c r="L47" s="83">
        <f t="shared" si="17"/>
        <v>0.30643569250000002</v>
      </c>
      <c r="M47" s="83">
        <f t="shared" si="17"/>
        <v>0.3544350825</v>
      </c>
      <c r="N47" s="83">
        <f t="shared" si="17"/>
        <v>0.41923656500000001</v>
      </c>
      <c r="O47" s="83">
        <f t="shared" si="17"/>
        <v>0.41920774000000005</v>
      </c>
      <c r="P47" s="83">
        <f t="shared" si="17"/>
        <v>0.32418324500000001</v>
      </c>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row>
    <row r="48" spans="1:52" s="2" customFormat="1" x14ac:dyDescent="0.25">
      <c r="A48" s="180"/>
      <c r="B48" s="88" t="s">
        <v>48</v>
      </c>
      <c r="C48" s="55" t="s">
        <v>133</v>
      </c>
      <c r="D48" s="89">
        <f>IFERROR(VLOOKUP(B48,'7'!$A$5:$C$30,2,FALSE)/1000,"")</f>
        <v>4810.6189999999997</v>
      </c>
      <c r="E48" s="89">
        <f>IFERROR(VLOOKUP(B48,'7'!$A$5:$C$31,3,FALSE)/1000,"")</f>
        <v>5038.33</v>
      </c>
      <c r="F48" s="82">
        <f>IFERROR(VLOOKUP(B48,'7'!$A$5:$H$31,4,FALSE)/1000,"")</f>
        <v>4731.7269999999999</v>
      </c>
      <c r="G48" s="82">
        <f>IFERROR(VLOOKUP(B48,'7'!$A$5:$H$31,5,FALSE)/1000,"")</f>
        <v>4509.3950000000004</v>
      </c>
      <c r="H48" s="82">
        <f>IFERROR(VLOOKUP(B48,'7'!$A$5:$H$31,6,FALSE)/1000,"")</f>
        <v>4778.3450000000003</v>
      </c>
      <c r="I48" s="82">
        <f>IFERROR(VLOOKUP(B48,'7'!$A$5:$H$31,7,FALSE)/1000,"")</f>
        <v>5952.76</v>
      </c>
      <c r="J48" s="83">
        <f>IFERROR(VLOOKUP(B48,'7'!$A$5:$H$31,8,FALSE)/1000,"")</f>
        <v>5943.7950000000001</v>
      </c>
      <c r="K48" s="83">
        <f t="shared" si="18"/>
        <v>4.9814022500000004</v>
      </c>
      <c r="L48" s="83">
        <f t="shared" si="17"/>
        <v>4.80837775</v>
      </c>
      <c r="M48" s="83">
        <f t="shared" si="17"/>
        <v>4.564978</v>
      </c>
      <c r="N48" s="83">
        <f t="shared" si="17"/>
        <v>4.7111074999999998</v>
      </c>
      <c r="O48" s="83">
        <f t="shared" si="17"/>
        <v>5.6591562499999997</v>
      </c>
      <c r="P48" s="83">
        <f t="shared" si="17"/>
        <v>5.9460362500000006</v>
      </c>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row>
    <row r="49" spans="1:52" s="2" customFormat="1" x14ac:dyDescent="0.25">
      <c r="A49" s="180"/>
      <c r="B49" s="88" t="s">
        <v>49</v>
      </c>
      <c r="C49" s="55" t="s">
        <v>134</v>
      </c>
      <c r="D49" s="89">
        <f>IFERROR(VLOOKUP(B49,'7'!$A$5:$C$30,2,FALSE)/1000,"")</f>
        <v>210.00879999999998</v>
      </c>
      <c r="E49" s="89">
        <f>IFERROR(VLOOKUP(B49,'7'!$A$5:$C$31,3,FALSE)/1000,"")</f>
        <v>228.57794000000001</v>
      </c>
      <c r="F49" s="82">
        <f>IFERROR(VLOOKUP(B49,'7'!$A$5:$H$31,4,FALSE)/1000,"")</f>
        <v>238.78238000000002</v>
      </c>
      <c r="G49" s="82">
        <f>IFERROR(VLOOKUP(B49,'7'!$A$5:$H$31,5,FALSE)/1000,"")</f>
        <v>480.48803999999996</v>
      </c>
      <c r="H49" s="82">
        <f>IFERROR(VLOOKUP(B49,'7'!$A$5:$H$31,6,FALSE)/1000,"")</f>
        <v>482.11712</v>
      </c>
      <c r="I49" s="82">
        <f>IFERROR(VLOOKUP(B49,'7'!$A$5:$H$31,7,FALSE)/1000,"")</f>
        <v>485.28994</v>
      </c>
      <c r="J49" s="83">
        <f>IFERROR(VLOOKUP(B49,'7'!$A$5:$H$31,8,FALSE)/1000,"")</f>
        <v>439.71674000000002</v>
      </c>
      <c r="K49" s="83">
        <f t="shared" si="18"/>
        <v>0.22393565499999998</v>
      </c>
      <c r="L49" s="83">
        <f t="shared" si="17"/>
        <v>0.23623127000000002</v>
      </c>
      <c r="M49" s="83">
        <f t="shared" si="17"/>
        <v>0.42006162499999999</v>
      </c>
      <c r="N49" s="83">
        <f t="shared" si="17"/>
        <v>0.48170984999999999</v>
      </c>
      <c r="O49" s="83">
        <f t="shared" si="17"/>
        <v>0.48449673499999996</v>
      </c>
      <c r="P49" s="83">
        <f t="shared" si="17"/>
        <v>0.45111004000000005</v>
      </c>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row>
    <row r="50" spans="1:52" s="2" customFormat="1" x14ac:dyDescent="0.25">
      <c r="A50" s="180"/>
      <c r="B50" s="88" t="s">
        <v>50</v>
      </c>
      <c r="C50" s="55" t="s">
        <v>135</v>
      </c>
      <c r="D50" s="89">
        <f>IFERROR(VLOOKUP(B50,'7'!$A$5:$C$30,2,FALSE)/1000,"")</f>
        <v>3691.4879999999998</v>
      </c>
      <c r="E50" s="89">
        <f>IFERROR(VLOOKUP(B50,'7'!$A$5:$C$31,3,FALSE)/1000,"")</f>
        <v>4383.6419999999998</v>
      </c>
      <c r="F50" s="82">
        <f>IFERROR(VLOOKUP(B50,'7'!$A$5:$H$31,4,FALSE)/1000,"")</f>
        <v>4499.0010000000002</v>
      </c>
      <c r="G50" s="82">
        <f>IFERROR(VLOOKUP(B50,'7'!$A$5:$H$31,5,FALSE)/1000,"")</f>
        <v>5921.7619999999997</v>
      </c>
      <c r="H50" s="82">
        <f>IFERROR(VLOOKUP(B50,'7'!$A$5:$H$31,6,FALSE)/1000,"")</f>
        <v>6306.2920000000004</v>
      </c>
      <c r="I50" s="82">
        <f>IFERROR(VLOOKUP(B50,'7'!$A$5:$H$31,7,FALSE)/1000,"")</f>
        <v>6498.5569999999998</v>
      </c>
      <c r="J50" s="83">
        <f>IFERROR(VLOOKUP(B50,'7'!$A$5:$H$31,8,FALSE)/1000,"")</f>
        <v>6613.9160000000002</v>
      </c>
      <c r="K50" s="83">
        <f t="shared" si="18"/>
        <v>4.2106035000000004</v>
      </c>
      <c r="L50" s="83">
        <f t="shared" si="17"/>
        <v>4.4701612500000003</v>
      </c>
      <c r="M50" s="83">
        <f t="shared" si="17"/>
        <v>5.5660717499999999</v>
      </c>
      <c r="N50" s="83">
        <f t="shared" si="17"/>
        <v>6.2101594999999996</v>
      </c>
      <c r="O50" s="83">
        <f t="shared" si="17"/>
        <v>6.4504907500000002</v>
      </c>
      <c r="P50" s="83">
        <f t="shared" si="17"/>
        <v>6.5850762500000002</v>
      </c>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row>
    <row r="51" spans="1:52" s="2" customFormat="1" x14ac:dyDescent="0.25">
      <c r="A51" s="180"/>
      <c r="B51" s="88" t="s">
        <v>51</v>
      </c>
      <c r="C51" s="55" t="s">
        <v>136</v>
      </c>
      <c r="D51" s="89">
        <f>IFERROR(VLOOKUP(B51,'7'!$A$5:$C$30,2,FALSE)/1000,"")</f>
        <v>176.86</v>
      </c>
      <c r="E51" s="89">
        <f>IFERROR(VLOOKUP(B51,'7'!$A$5:$C$31,3,FALSE)/1000,"")</f>
        <v>186.42</v>
      </c>
      <c r="F51" s="82">
        <f>IFERROR(VLOOKUP(B51,'7'!$A$5:$H$31,4,FALSE)/1000,"")</f>
        <v>143.4</v>
      </c>
      <c r="G51" s="82">
        <f>IFERROR(VLOOKUP(B51,'7'!$A$5:$H$31,5,FALSE)/1000,"")</f>
        <v>186.42</v>
      </c>
      <c r="H51" s="82">
        <f>IFERROR(VLOOKUP(B51,'7'!$A$5:$H$31,6,FALSE)/1000,"")</f>
        <v>181.64</v>
      </c>
      <c r="I51" s="82">
        <f>IFERROR(VLOOKUP(B51,'7'!$A$5:$H$31,7,FALSE)/1000,"")</f>
        <v>181.64</v>
      </c>
      <c r="J51" s="83">
        <f>IFERROR(VLOOKUP(B51,'7'!$A$5:$H$31,8,FALSE)/1000,"")</f>
        <v>157.74</v>
      </c>
      <c r="K51" s="83">
        <f t="shared" si="18"/>
        <v>0.18403</v>
      </c>
      <c r="L51" s="83">
        <f t="shared" si="17"/>
        <v>0.15415500000000001</v>
      </c>
      <c r="M51" s="83">
        <f t="shared" si="17"/>
        <v>0.17566499999999999</v>
      </c>
      <c r="N51" s="83">
        <f t="shared" si="17"/>
        <v>0.18283499999999997</v>
      </c>
      <c r="O51" s="83">
        <f t="shared" si="17"/>
        <v>0.18164</v>
      </c>
      <c r="P51" s="83">
        <f t="shared" si="17"/>
        <v>0.163715</v>
      </c>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row>
    <row r="52" spans="1:52" s="2" customFormat="1" x14ac:dyDescent="0.25">
      <c r="A52" s="180"/>
      <c r="B52" s="88" t="s">
        <v>52</v>
      </c>
      <c r="C52" s="55" t="s">
        <v>137</v>
      </c>
      <c r="D52" s="89">
        <f>IFERROR(VLOOKUP(B52,'7'!$A$5:$C$30,2,FALSE)/1000,"")</f>
        <v>1639.1836000000001</v>
      </c>
      <c r="E52" s="89">
        <f>IFERROR(VLOOKUP(B52,'7'!$A$5:$C$31,3,FALSE)/1000,"")</f>
        <v>1656.6047999999998</v>
      </c>
      <c r="F52" s="82">
        <f>IFERROR(VLOOKUP(B52,'7'!$A$5:$H$31,4,FALSE)/1000,"")</f>
        <v>1441.0319999999999</v>
      </c>
      <c r="G52" s="82">
        <f>IFERROR(VLOOKUP(B52,'7'!$A$5:$H$31,5,FALSE)/1000,"")</f>
        <v>1627.3883999999998</v>
      </c>
      <c r="H52" s="82">
        <f>IFERROR(VLOOKUP(B52,'7'!$A$5:$H$31,6,FALSE)/1000,"")</f>
        <v>1755.4672</v>
      </c>
      <c r="I52" s="82">
        <f>IFERROR(VLOOKUP(B52,'7'!$A$5:$H$31,7,FALSE)/1000,"")</f>
        <v>1736.9596000000001</v>
      </c>
      <c r="J52" s="83">
        <f>IFERROR(VLOOKUP(B52,'7'!$A$5:$H$31,8,FALSE)/1000,"")</f>
        <v>1567.5976000000001</v>
      </c>
      <c r="K52" s="83">
        <f t="shared" si="18"/>
        <v>1.6522494999999999</v>
      </c>
      <c r="L52" s="83">
        <f t="shared" si="17"/>
        <v>1.4949252</v>
      </c>
      <c r="M52" s="83">
        <f t="shared" si="17"/>
        <v>1.5807992999999998</v>
      </c>
      <c r="N52" s="83">
        <f t="shared" si="17"/>
        <v>1.7234475</v>
      </c>
      <c r="O52" s="83">
        <f t="shared" si="17"/>
        <v>1.7415865000000001</v>
      </c>
      <c r="P52" s="83">
        <f t="shared" si="17"/>
        <v>1.6099381000000001</v>
      </c>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row>
    <row r="53" spans="1:52" s="2" customFormat="1" x14ac:dyDescent="0.25">
      <c r="A53" s="180"/>
      <c r="B53" s="88" t="s">
        <v>85</v>
      </c>
      <c r="C53" s="79" t="s">
        <v>138</v>
      </c>
      <c r="D53" s="185" t="s">
        <v>300</v>
      </c>
      <c r="E53" s="186"/>
      <c r="F53" s="186"/>
      <c r="G53" s="186"/>
      <c r="H53" s="186"/>
      <c r="I53" s="186"/>
      <c r="J53" s="186"/>
      <c r="K53" s="186"/>
      <c r="L53" s="186"/>
      <c r="M53" s="186"/>
      <c r="N53" s="186"/>
      <c r="O53" s="186"/>
      <c r="P53" s="18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row>
    <row r="54" spans="1:52" s="2" customFormat="1" x14ac:dyDescent="0.25">
      <c r="A54" s="180"/>
      <c r="B54" s="88" t="s">
        <v>53</v>
      </c>
      <c r="C54" s="55" t="s">
        <v>139</v>
      </c>
      <c r="D54" s="188"/>
      <c r="E54" s="189"/>
      <c r="F54" s="189"/>
      <c r="G54" s="189"/>
      <c r="H54" s="189"/>
      <c r="I54" s="189"/>
      <c r="J54" s="189"/>
      <c r="K54" s="189"/>
      <c r="L54" s="189"/>
      <c r="M54" s="189"/>
      <c r="N54" s="189"/>
      <c r="O54" s="189"/>
      <c r="P54" s="190"/>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row>
    <row r="55" spans="1:52" s="2" customFormat="1" x14ac:dyDescent="0.25">
      <c r="A55" s="180"/>
      <c r="B55" s="88" t="s">
        <v>54</v>
      </c>
      <c r="C55" s="55" t="s">
        <v>140</v>
      </c>
      <c r="D55" s="188"/>
      <c r="E55" s="189"/>
      <c r="F55" s="189"/>
      <c r="G55" s="189"/>
      <c r="H55" s="189"/>
      <c r="I55" s="189"/>
      <c r="J55" s="189"/>
      <c r="K55" s="189"/>
      <c r="L55" s="189"/>
      <c r="M55" s="189"/>
      <c r="N55" s="189"/>
      <c r="O55" s="189"/>
      <c r="P55" s="190"/>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row>
    <row r="56" spans="1:52" s="2" customFormat="1" x14ac:dyDescent="0.25">
      <c r="A56" s="180"/>
      <c r="B56" s="88" t="s">
        <v>55</v>
      </c>
      <c r="C56" s="55" t="s">
        <v>119</v>
      </c>
      <c r="D56" s="191"/>
      <c r="E56" s="192"/>
      <c r="F56" s="192"/>
      <c r="G56" s="192"/>
      <c r="H56" s="192"/>
      <c r="I56" s="192"/>
      <c r="J56" s="192"/>
      <c r="K56" s="192"/>
      <c r="L56" s="192"/>
      <c r="M56" s="192"/>
      <c r="N56" s="192"/>
      <c r="O56" s="192"/>
      <c r="P56" s="193"/>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row>
    <row r="57" spans="1:52" s="2" customFormat="1" x14ac:dyDescent="0.25">
      <c r="A57" s="180"/>
      <c r="B57" s="87" t="s">
        <v>109</v>
      </c>
      <c r="C57" s="79" t="s">
        <v>141</v>
      </c>
      <c r="D57" s="80">
        <f t="shared" ref="D57:G57" si="19">SUM(D58:D64)</f>
        <v>8551.6964073741674</v>
      </c>
      <c r="E57" s="80">
        <f t="shared" si="19"/>
        <v>10794.899492109327</v>
      </c>
      <c r="F57" s="80">
        <f t="shared" si="19"/>
        <v>10889.945619521102</v>
      </c>
      <c r="G57" s="80">
        <f t="shared" si="19"/>
        <v>9935.056818683508</v>
      </c>
      <c r="H57" s="80">
        <f t="shared" ref="H57:I57" si="20">SUM(H58:H64)</f>
        <v>14005.01617475569</v>
      </c>
      <c r="I57" s="80">
        <f t="shared" si="20"/>
        <v>20228.14182784974</v>
      </c>
      <c r="J57" s="81">
        <f t="shared" ref="J57:P57" si="21">SUM(J58:J64)</f>
        <v>17253.627857522501</v>
      </c>
      <c r="K57" s="81">
        <f t="shared" si="21"/>
        <v>10.234098720925537</v>
      </c>
      <c r="L57" s="81">
        <f t="shared" si="21"/>
        <v>10.866184087668159</v>
      </c>
      <c r="M57" s="81">
        <f t="shared" si="21"/>
        <v>10.173779018892905</v>
      </c>
      <c r="N57" s="81">
        <f t="shared" si="21"/>
        <v>12.987526335737645</v>
      </c>
      <c r="O57" s="81">
        <f t="shared" si="21"/>
        <v>18.672360414576229</v>
      </c>
      <c r="P57" s="81">
        <f t="shared" si="21"/>
        <v>17.997256350104315</v>
      </c>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row>
    <row r="58" spans="1:52" s="2" customFormat="1" x14ac:dyDescent="0.25">
      <c r="A58" s="180"/>
      <c r="B58" s="88" t="s">
        <v>86</v>
      </c>
      <c r="C58" s="55" t="s">
        <v>142</v>
      </c>
      <c r="D58" s="89">
        <f>IFERROR(VLOOKUP(B58,'7'!$A$5:$C$30,2,FALSE)/1000,"")</f>
        <v>5682.9248662515356</v>
      </c>
      <c r="E58" s="89">
        <f>IFERROR(VLOOKUP(B58,'7'!$A$5:$C$31,3,FALSE)/1000,"")</f>
        <v>6552.9202615065024</v>
      </c>
      <c r="F58" s="82">
        <f>IFERROR(VLOOKUP(B58,'7'!$A$5:$H$31,4,FALSE)/1000,"")</f>
        <v>7538.8774219951902</v>
      </c>
      <c r="G58" s="82">
        <f>IFERROR(VLOOKUP(B58,'7'!$A$5:$H$31,5,FALSE)/1000,"")</f>
        <v>6180.1776147959281</v>
      </c>
      <c r="H58" s="82">
        <f>IFERROR(VLOOKUP(B58,'7'!$A$5:$H$31,6,FALSE)/1000,"")</f>
        <v>7153.3609701837204</v>
      </c>
      <c r="I58" s="82">
        <f>IFERROR(VLOOKUP(B58,'7'!$A$5:$H$31,7,FALSE)/1000,"")</f>
        <v>16130.414820244261</v>
      </c>
      <c r="J58" s="83">
        <f>IFERROR(VLOOKUP(B58,'7'!$A$5:$H$31,8,FALSE)/1000,"")</f>
        <v>12751.704209903552</v>
      </c>
      <c r="K58" s="83">
        <f>IFERROR(((1/4)*D58+(3/4)*E58)/1000,"")</f>
        <v>6.335421412692761</v>
      </c>
      <c r="L58" s="83">
        <f t="shared" ref="L58:P64" si="22">IFERROR(((1/4)*E58+(3/4)*F58)/1000,"")</f>
        <v>7.2923881318730182</v>
      </c>
      <c r="M58" s="83">
        <f t="shared" si="22"/>
        <v>6.5198525665957439</v>
      </c>
      <c r="N58" s="83">
        <f t="shared" si="22"/>
        <v>6.9100651313367729</v>
      </c>
      <c r="O58" s="83">
        <f t="shared" si="22"/>
        <v>13.886151357729126</v>
      </c>
      <c r="P58" s="83">
        <f t="shared" si="22"/>
        <v>13.596381862488728</v>
      </c>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row>
    <row r="59" spans="1:52" s="3" customFormat="1" x14ac:dyDescent="0.25">
      <c r="A59" s="180"/>
      <c r="B59" s="88" t="s">
        <v>87</v>
      </c>
      <c r="C59" s="55" t="s">
        <v>143</v>
      </c>
      <c r="D59" s="89">
        <f>IFERROR(VLOOKUP(B59,'7'!$A$5:$C$30,2,FALSE)/1000,"")</f>
        <v>718.52139868263237</v>
      </c>
      <c r="E59" s="89">
        <f>IFERROR(VLOOKUP(B59,'7'!$A$5:$C$31,3,FALSE)/1000,"")</f>
        <v>1907.6705913528237</v>
      </c>
      <c r="F59" s="82">
        <f>IFERROR(VLOOKUP(B59,'7'!$A$5:$H$31,4,FALSE)/1000,"")</f>
        <v>790.02496297591381</v>
      </c>
      <c r="G59" s="82">
        <f>IFERROR(VLOOKUP(B59,'7'!$A$5:$H$31,5,FALSE)/1000,"")</f>
        <v>880.19325388757954</v>
      </c>
      <c r="H59" s="82">
        <f>IFERROR(VLOOKUP(B59,'7'!$A$5:$H$31,6,FALSE)/1000,"")</f>
        <v>3754.2234944319689</v>
      </c>
      <c r="I59" s="82">
        <f>IFERROR(VLOOKUP(B59,'7'!$A$5:$H$31,7,FALSE)/1000,"")</f>
        <v>905.14469760547786</v>
      </c>
      <c r="J59" s="83">
        <f>IFERROR(VLOOKUP(B59,'7'!$A$5:$H$31,8,FALSE)/1000,"")</f>
        <v>1228.2843835129556</v>
      </c>
      <c r="K59" s="83">
        <f t="shared" ref="K59:K64" si="23">IFERROR(((1/4)*D59+(3/4)*E59)/1000,"")</f>
        <v>1.6103832931852757</v>
      </c>
      <c r="L59" s="83">
        <f t="shared" si="22"/>
        <v>1.0694363700701413</v>
      </c>
      <c r="M59" s="83">
        <f t="shared" si="22"/>
        <v>0.8576511811596631</v>
      </c>
      <c r="N59" s="83">
        <f t="shared" si="22"/>
        <v>3.0357159342958715</v>
      </c>
      <c r="O59" s="83">
        <f t="shared" si="22"/>
        <v>1.6174143968121006</v>
      </c>
      <c r="P59" s="83">
        <f t="shared" si="22"/>
        <v>1.1474994620360863</v>
      </c>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row>
    <row r="60" spans="1:52" s="3" customFormat="1" x14ac:dyDescent="0.25">
      <c r="A60" s="180"/>
      <c r="B60" s="88" t="s">
        <v>88</v>
      </c>
      <c r="C60" s="55" t="s">
        <v>144</v>
      </c>
      <c r="D60" s="89">
        <f>IFERROR(VLOOKUP(B60,'7'!$A$5:$C$30,2,FALSE)/1000,"")</f>
        <v>1902.45</v>
      </c>
      <c r="E60" s="89">
        <f>IFERROR(VLOOKUP(B60,'7'!$A$5:$C$31,3,FALSE)/1000,"")</f>
        <v>2041.05</v>
      </c>
      <c r="F60" s="82">
        <f>IFERROR(VLOOKUP(B60,'7'!$A$5:$H$31,4,FALSE)/1000,"")</f>
        <v>2222.13915</v>
      </c>
      <c r="G60" s="82">
        <f>IFERROR(VLOOKUP(B60,'7'!$A$5:$H$31,5,FALSE)/1000,"")</f>
        <v>2515.8391499999998</v>
      </c>
      <c r="H60" s="82">
        <f>IFERROR(VLOOKUP(B60,'7'!$A$5:$H$31,6,FALSE)/1000,"")</f>
        <v>2674.7044499999997</v>
      </c>
      <c r="I60" s="82">
        <f>IFERROR(VLOOKUP(B60,'7'!$A$5:$H$31,7,FALSE)/1000,"")</f>
        <v>2729.3573999999999</v>
      </c>
      <c r="J60" s="83">
        <f>IFERROR(VLOOKUP(B60,'7'!$A$5:$H$31,8,FALSE)/1000,"")</f>
        <v>2838.7045499999999</v>
      </c>
      <c r="K60" s="83">
        <f t="shared" si="23"/>
        <v>2.0063999999999997</v>
      </c>
      <c r="L60" s="83">
        <f t="shared" si="22"/>
        <v>2.1768668624999998</v>
      </c>
      <c r="M60" s="83">
        <f t="shared" si="22"/>
        <v>2.4424141499999994</v>
      </c>
      <c r="N60" s="83">
        <f t="shared" si="22"/>
        <v>2.634988125</v>
      </c>
      <c r="O60" s="83">
        <f t="shared" si="22"/>
        <v>2.7156941624999997</v>
      </c>
      <c r="P60" s="83">
        <f t="shared" si="22"/>
        <v>2.8113677625000002</v>
      </c>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row>
    <row r="61" spans="1:52" s="2" customFormat="1" x14ac:dyDescent="0.25">
      <c r="A61" s="180"/>
      <c r="B61" s="88" t="s">
        <v>89</v>
      </c>
      <c r="C61" s="55" t="s">
        <v>145</v>
      </c>
      <c r="D61" s="89" t="str">
        <f>IFERROR(VLOOKUP(B61,'7'!$A$5:$C$30,2,FALSE)/1000,"")</f>
        <v/>
      </c>
      <c r="E61" s="89" t="str">
        <f>IFERROR(VLOOKUP(B61,'7'!$A$5:$C$31,3,FALSE)/1000,"")</f>
        <v/>
      </c>
      <c r="F61" s="82" t="str">
        <f>IFERROR(VLOOKUP(B61,'7'!$A$5:$H$31,4,FALSE)/1000,"")</f>
        <v/>
      </c>
      <c r="G61" s="82" t="str">
        <f>IFERROR(VLOOKUP(B61,'7'!$A$5:$H$31,5,FALSE)/1000,"")</f>
        <v/>
      </c>
      <c r="H61" s="82" t="str">
        <f>IFERROR(VLOOKUP(B61,'7'!$A$5:$H$31,6,FALSE)/1000,"")</f>
        <v/>
      </c>
      <c r="I61" s="82" t="str">
        <f>IFERROR(VLOOKUP(B61,'7'!$A$5:$H$31,7,FALSE)/1000,"")</f>
        <v/>
      </c>
      <c r="J61" s="83" t="str">
        <f>IFERROR(VLOOKUP(B61,'7'!$A$5:$H$31,8,FALSE)/1000,"")</f>
        <v/>
      </c>
      <c r="K61" s="83" t="str">
        <f t="shared" si="23"/>
        <v/>
      </c>
      <c r="L61" s="83" t="str">
        <f t="shared" si="22"/>
        <v/>
      </c>
      <c r="M61" s="83" t="str">
        <f t="shared" si="22"/>
        <v/>
      </c>
      <c r="N61" s="83" t="str">
        <f t="shared" si="22"/>
        <v/>
      </c>
      <c r="O61" s="83" t="str">
        <f t="shared" si="22"/>
        <v/>
      </c>
      <c r="P61" s="83" t="str">
        <f t="shared" si="22"/>
        <v/>
      </c>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row>
    <row r="62" spans="1:52" s="2" customFormat="1" x14ac:dyDescent="0.25">
      <c r="A62" s="180"/>
      <c r="B62" s="88" t="s">
        <v>90</v>
      </c>
      <c r="C62" s="55" t="s">
        <v>146</v>
      </c>
      <c r="D62" s="89">
        <f>IFERROR(VLOOKUP(B62,'7'!$A$5:$C$30,2,FALSE)/1000,"")</f>
        <v>23.206040000000002</v>
      </c>
      <c r="E62" s="89">
        <f>IFERROR(VLOOKUP(B62,'7'!$A$5:$C$31,3,FALSE)/1000,"")</f>
        <v>30.287920000000003</v>
      </c>
      <c r="F62" s="82">
        <f>IFERROR(VLOOKUP(B62,'7'!$A$5:$H$31,4,FALSE)/1000,"")</f>
        <v>31.367960000000004</v>
      </c>
      <c r="G62" s="82">
        <f>IFERROR(VLOOKUP(B62,'7'!$A$5:$H$31,5,FALSE)/1000,"")</f>
        <v>33.445880000000002</v>
      </c>
      <c r="H62" s="82">
        <f>IFERROR(VLOOKUP(B62,'7'!$A$5:$H$31,6,FALSE)/1000,"")</f>
        <v>29.79288</v>
      </c>
      <c r="I62" s="82">
        <f>IFERROR(VLOOKUP(B62,'7'!$A$5:$H$31,7,FALSE)/1000,"")</f>
        <v>47.892000000000003</v>
      </c>
      <c r="J62" s="83">
        <f>IFERROR(VLOOKUP(B62,'7'!$A$5:$H$31,8,FALSE)/1000,"")</f>
        <v>61.524840000000005</v>
      </c>
      <c r="K62" s="83">
        <f t="shared" si="23"/>
        <v>2.8517450000000003E-2</v>
      </c>
      <c r="L62" s="83">
        <f t="shared" si="22"/>
        <v>3.1097949999999999E-2</v>
      </c>
      <c r="M62" s="83">
        <f t="shared" si="22"/>
        <v>3.2926400000000002E-2</v>
      </c>
      <c r="N62" s="83">
        <f t="shared" si="22"/>
        <v>3.0706130000000002E-2</v>
      </c>
      <c r="O62" s="83">
        <f t="shared" si="22"/>
        <v>4.3367220000000005E-2</v>
      </c>
      <c r="P62" s="83">
        <f t="shared" si="22"/>
        <v>5.8116630000000002E-2</v>
      </c>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row>
    <row r="63" spans="1:52" s="2" customFormat="1" x14ac:dyDescent="0.25">
      <c r="A63" s="180"/>
      <c r="B63" s="88" t="s">
        <v>91</v>
      </c>
      <c r="C63" s="55" t="s">
        <v>147</v>
      </c>
      <c r="D63" s="89">
        <f>IFERROR(VLOOKUP(B63,'7'!$A$5:$C$30,2,FALSE)/1000,"")</f>
        <v>201.90085000000002</v>
      </c>
      <c r="E63" s="89">
        <f>IFERROR(VLOOKUP(B63,'7'!$A$5:$C$31,3,FALSE)/1000,"")</f>
        <v>242.24975000000001</v>
      </c>
      <c r="F63" s="82">
        <f>IFERROR(VLOOKUP(B63,'7'!$A$5:$H$31,4,FALSE)/1000,"")</f>
        <v>306.91823000000005</v>
      </c>
      <c r="G63" s="82">
        <f>IFERROR(VLOOKUP(B63,'7'!$A$5:$H$31,5,FALSE)/1000,"")</f>
        <v>325.40092000000004</v>
      </c>
      <c r="H63" s="82">
        <f>IFERROR(VLOOKUP(B63,'7'!$A$5:$H$31,6,FALSE)/1000,"")</f>
        <v>392.41305999999997</v>
      </c>
      <c r="I63" s="82">
        <f>IFERROR(VLOOKUP(B63,'7'!$A$5:$H$31,7,FALSE)/1000,"")</f>
        <v>415.33291000000003</v>
      </c>
      <c r="J63" s="83">
        <f>IFERROR(VLOOKUP(B63,'7'!$A$5:$H$31,8,FALSE)/1000,"")</f>
        <v>373.24084000000005</v>
      </c>
      <c r="K63" s="83">
        <f t="shared" si="23"/>
        <v>0.23216252500000001</v>
      </c>
      <c r="L63" s="83">
        <f t="shared" si="22"/>
        <v>0.29075111000000003</v>
      </c>
      <c r="M63" s="83">
        <f t="shared" si="22"/>
        <v>0.3207802475</v>
      </c>
      <c r="N63" s="83">
        <f t="shared" si="22"/>
        <v>0.37566002500000001</v>
      </c>
      <c r="O63" s="83">
        <f t="shared" si="22"/>
        <v>0.40960294750000004</v>
      </c>
      <c r="P63" s="83">
        <f t="shared" si="22"/>
        <v>0.38376385750000008</v>
      </c>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row>
    <row r="64" spans="1:52" s="2" customFormat="1" x14ac:dyDescent="0.25">
      <c r="A64" s="180"/>
      <c r="B64" s="88" t="s">
        <v>92</v>
      </c>
      <c r="C64" s="55" t="s">
        <v>119</v>
      </c>
      <c r="D64" s="89">
        <f>IFERROR(VLOOKUP(B64,'7'!$A$5:$C$30,2,FALSE)/1000,"")</f>
        <v>22.693252440000002</v>
      </c>
      <c r="E64" s="89">
        <f>IFERROR(VLOOKUP(B64,'7'!$A$5:$C$31,3,FALSE)/1000,"")</f>
        <v>20.720969250000003</v>
      </c>
      <c r="F64" s="82">
        <f>IFERROR(VLOOKUP(B64,'7'!$A$5:$H$31,4,FALSE)/1000,"")</f>
        <v>0.61789454999999993</v>
      </c>
      <c r="G64" s="82">
        <f>IFERROR(VLOOKUP(B64,'7'!$A$5:$H$31,5,FALSE)/1000,"")</f>
        <v>0</v>
      </c>
      <c r="H64" s="82">
        <f>IFERROR(VLOOKUP(B64,'7'!$A$5:$H$31,6,FALSE)/1000,"")</f>
        <v>0.52132014000000004</v>
      </c>
      <c r="I64" s="82">
        <f>IFERROR(VLOOKUP(B64,'7'!$A$5:$H$31,7,FALSE)/1000,"")</f>
        <v>0</v>
      </c>
      <c r="J64" s="83">
        <f>IFERROR(VLOOKUP(B64,'7'!$A$5:$H$31,8,FALSE)/1000,"")</f>
        <v>0.16903410600000002</v>
      </c>
      <c r="K64" s="83">
        <f t="shared" si="23"/>
        <v>2.1214040047500004E-2</v>
      </c>
      <c r="L64" s="83">
        <f t="shared" si="22"/>
        <v>5.6436632250000006E-3</v>
      </c>
      <c r="M64" s="83">
        <f t="shared" si="22"/>
        <v>1.5447363749999997E-4</v>
      </c>
      <c r="N64" s="83">
        <f t="shared" si="22"/>
        <v>3.9099010500000004E-4</v>
      </c>
      <c r="O64" s="83">
        <f t="shared" si="22"/>
        <v>1.30330035E-4</v>
      </c>
      <c r="P64" s="83">
        <f t="shared" si="22"/>
        <v>1.2677557950000002E-4</v>
      </c>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row>
    <row r="65" spans="1:52" s="2" customFormat="1" x14ac:dyDescent="0.25">
      <c r="A65" s="180"/>
      <c r="B65" s="87" t="s">
        <v>110</v>
      </c>
      <c r="C65" s="79" t="s">
        <v>148</v>
      </c>
      <c r="D65" s="80">
        <f t="shared" ref="D65:I65" si="24">SUM(D66:D69)</f>
        <v>3273.0294064088635</v>
      </c>
      <c r="E65" s="80">
        <f t="shared" si="24"/>
        <v>4486.2543134138723</v>
      </c>
      <c r="F65" s="80">
        <f t="shared" si="24"/>
        <v>3271.812243259244</v>
      </c>
      <c r="G65" s="80">
        <f t="shared" si="24"/>
        <v>3705.2990433838368</v>
      </c>
      <c r="H65" s="80">
        <f t="shared" si="24"/>
        <v>5070.3423301347102</v>
      </c>
      <c r="I65" s="80">
        <f t="shared" si="24"/>
        <v>5535.1691430811006</v>
      </c>
      <c r="J65" s="81">
        <f t="shared" ref="J65:P65" si="25">SUM(J66:J69)</f>
        <v>5173.6015676629904</v>
      </c>
      <c r="K65" s="81">
        <f t="shared" si="25"/>
        <v>4.1829480866626199</v>
      </c>
      <c r="L65" s="81">
        <f t="shared" si="25"/>
        <v>3.5754227607979008</v>
      </c>
      <c r="M65" s="81">
        <f t="shared" si="25"/>
        <v>3.5969273433526885</v>
      </c>
      <c r="N65" s="81">
        <f t="shared" si="25"/>
        <v>4.7290815084469919</v>
      </c>
      <c r="O65" s="81">
        <f t="shared" si="25"/>
        <v>5.4189624398445035</v>
      </c>
      <c r="P65" s="81">
        <f t="shared" si="25"/>
        <v>5.2639934615175186</v>
      </c>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row>
    <row r="66" spans="1:52" s="2" customFormat="1" x14ac:dyDescent="0.25">
      <c r="A66" s="180"/>
      <c r="B66" s="88" t="s">
        <v>93</v>
      </c>
      <c r="C66" s="55" t="s">
        <v>149</v>
      </c>
      <c r="D66" s="89">
        <f>IFERROR(VLOOKUP(B66,'7'!$A$5:$C$31,2,FALSE)/1000,"")</f>
        <v>727.02035009340614</v>
      </c>
      <c r="E66" s="89">
        <f>IFERROR(VLOOKUP(B66,'7'!$A$5:$C$31,3,FALSE)/1000,"")</f>
        <v>2110.5948409468824</v>
      </c>
      <c r="F66" s="82">
        <f>IFERROR(VLOOKUP(B66,'7'!$A$5:$H$31,4,FALSE)/1000,"")</f>
        <v>536.39281903258427</v>
      </c>
      <c r="G66" s="82">
        <f>IFERROR(VLOOKUP(B66,'7'!$A$5:$H$31,5,FALSE)/1000,"")</f>
        <v>492.12112035177842</v>
      </c>
      <c r="H66" s="82">
        <f>IFERROR(VLOOKUP(B66,'7'!$A$5:$H$31,6,FALSE)/1000,"")</f>
        <v>1973.496227524756</v>
      </c>
      <c r="I66" s="82">
        <f>IFERROR(VLOOKUP(B66,'7'!$A$5:$H$31,7,FALSE)/1000,"")</f>
        <v>1934.5816161904272</v>
      </c>
      <c r="J66" s="83">
        <f>IFERROR(VLOOKUP(B66,'7'!$A$5:$H$31,8,FALSE)/1000,"")</f>
        <v>1843.6892724190504</v>
      </c>
      <c r="K66" s="83">
        <f>IFERROR(((1/4)*D66+(3/4)*E66)/1000,"")</f>
        <v>1.7647012182335133</v>
      </c>
      <c r="L66" s="83">
        <f t="shared" ref="L66:P69" si="26">IFERROR(((1/4)*E66+(3/4)*F66)/1000,"")</f>
        <v>0.9299433245111588</v>
      </c>
      <c r="M66" s="83">
        <f t="shared" si="26"/>
        <v>0.50318904502197981</v>
      </c>
      <c r="N66" s="83">
        <f t="shared" si="26"/>
        <v>1.6031524507315116</v>
      </c>
      <c r="O66" s="83">
        <f t="shared" si="26"/>
        <v>1.9443102690240093</v>
      </c>
      <c r="P66" s="83">
        <f t="shared" si="26"/>
        <v>1.8664123583618948</v>
      </c>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row>
    <row r="67" spans="1:52" s="2" customFormat="1" x14ac:dyDescent="0.25">
      <c r="A67" s="180"/>
      <c r="B67" s="88" t="s">
        <v>94</v>
      </c>
      <c r="C67" s="55" t="s">
        <v>150</v>
      </c>
      <c r="D67" s="89">
        <f>IFERROR(VLOOKUP(B67,'7'!$A$5:$C$31,2,FALSE)/1000,"")</f>
        <v>338.32480399795668</v>
      </c>
      <c r="E67" s="89">
        <f>IFERROR(VLOOKUP(B67,'7'!$A$5:$C$31,3,FALSE)/1000,"")</f>
        <v>29.695475661989921</v>
      </c>
      <c r="F67" s="82">
        <f>IFERROR(VLOOKUP(B67,'7'!$A$5:$H$31,4,FALSE)/1000,"")</f>
        <v>226.47212243165993</v>
      </c>
      <c r="G67" s="82">
        <f>IFERROR(VLOOKUP(B67,'7'!$A$5:$H$31,5,FALSE)/1000,"")</f>
        <v>508.67072002455791</v>
      </c>
      <c r="H67" s="82">
        <f>IFERROR(VLOOKUP(B67,'7'!$A$5:$H$31,6,FALSE)/1000,"")</f>
        <v>371.72950876745426</v>
      </c>
      <c r="I67" s="82">
        <f>IFERROR(VLOOKUP(B67,'7'!$A$5:$H$31,7,FALSE)/1000,"")</f>
        <v>818.83571553567413</v>
      </c>
      <c r="J67" s="83">
        <f>IFERROR(VLOOKUP(B67,'7'!$A$5:$H$31,8,FALSE)/1000,"")</f>
        <v>449.87652523144004</v>
      </c>
      <c r="K67" s="83">
        <f t="shared" ref="K67:K69" si="27">IFERROR(((1/4)*D67+(3/4)*E67)/1000,"")</f>
        <v>0.1068528077459816</v>
      </c>
      <c r="L67" s="83">
        <f t="shared" si="26"/>
        <v>0.17727796073924243</v>
      </c>
      <c r="M67" s="83">
        <f t="shared" si="26"/>
        <v>0.43812107062633343</v>
      </c>
      <c r="N67" s="83">
        <f t="shared" si="26"/>
        <v>0.40596481158173015</v>
      </c>
      <c r="O67" s="83">
        <f t="shared" si="26"/>
        <v>0.70705916384361911</v>
      </c>
      <c r="P67" s="83">
        <f t="shared" si="26"/>
        <v>0.54211632280749855</v>
      </c>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row>
    <row r="68" spans="1:52" s="2" customFormat="1" x14ac:dyDescent="0.25">
      <c r="A68" s="180"/>
      <c r="B68" s="88" t="s">
        <v>95</v>
      </c>
      <c r="C68" s="55" t="s">
        <v>151</v>
      </c>
      <c r="D68" s="89" t="str">
        <f>IFERROR(VLOOKUP(B68,'7'!$A$5:$C$31,2,FALSE)/1000,"")</f>
        <v/>
      </c>
      <c r="E68" s="89" t="str">
        <f>IFERROR(VLOOKUP(B68,'7'!$A$5:$C$31,3,FALSE)/1000,"")</f>
        <v/>
      </c>
      <c r="F68" s="82" t="str">
        <f>IFERROR(VLOOKUP(B68,'7'!$A$5:$H$31,4,FALSE)/1000,"")</f>
        <v/>
      </c>
      <c r="G68" s="82" t="str">
        <f>IFERROR(VLOOKUP(B68,'7'!$A$5:$H$31,5,FALSE)/1000,"")</f>
        <v/>
      </c>
      <c r="H68" s="82" t="str">
        <f>IFERROR(VLOOKUP(B68,'7'!$A$5:$H$31,6,FALSE)/1000,"")</f>
        <v/>
      </c>
      <c r="I68" s="82" t="str">
        <f>IFERROR(VLOOKUP(B68,'7'!$A$5:$H$31,7,FALSE)/1000,"")</f>
        <v/>
      </c>
      <c r="J68" s="83" t="str">
        <f>IFERROR(VLOOKUP(B68,'7'!$A$5:$H$31,8,FALSE)/1000,"")</f>
        <v/>
      </c>
      <c r="K68" s="83" t="str">
        <f t="shared" si="27"/>
        <v/>
      </c>
      <c r="L68" s="83" t="str">
        <f t="shared" si="26"/>
        <v/>
      </c>
      <c r="M68" s="83" t="str">
        <f t="shared" si="26"/>
        <v/>
      </c>
      <c r="N68" s="83" t="str">
        <f t="shared" si="26"/>
        <v/>
      </c>
      <c r="O68" s="83" t="str">
        <f t="shared" si="26"/>
        <v/>
      </c>
      <c r="P68" s="83" t="str">
        <f t="shared" si="26"/>
        <v/>
      </c>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row>
    <row r="69" spans="1:52" s="2" customFormat="1" x14ac:dyDescent="0.25">
      <c r="A69" s="180"/>
      <c r="B69" s="88" t="s">
        <v>96</v>
      </c>
      <c r="C69" s="55" t="s">
        <v>152</v>
      </c>
      <c r="D69" s="89">
        <f>IFERROR(VLOOKUP(B69,'7'!$A$5:$C$32,2,FALSE)/1000,"")</f>
        <v>2207.6842523175005</v>
      </c>
      <c r="E69" s="89">
        <f>IFERROR(VLOOKUP(B69,'7'!$A$5:$C$32,3,FALSE)/1000,"")</f>
        <v>2345.9639968050001</v>
      </c>
      <c r="F69" s="82">
        <f>IFERROR(VLOOKUP(B69,'7'!$A$5:$H$32,4,FALSE)/1000,"")</f>
        <v>2508.9473017949999</v>
      </c>
      <c r="G69" s="82">
        <f>IFERROR(VLOOKUP(B69,'7'!$A$5:$H$32,5,FALSE)/1000,"")</f>
        <v>2704.5072030075003</v>
      </c>
      <c r="H69" s="82">
        <f>IFERROR(VLOOKUP(B69,'7'!$A$5:$H$32,6,FALSE)/1000,"")</f>
        <v>2725.1165938425002</v>
      </c>
      <c r="I69" s="82">
        <f>IFERROR(VLOOKUP(B69,'7'!$A$5:$H$32,7,FALSE)/1000,"")</f>
        <v>2781.751811355</v>
      </c>
      <c r="J69" s="83">
        <f>IFERROR(VLOOKUP(B69,'7'!$A$5:$H$32,8,FALSE)/1000,"")</f>
        <v>2880.0357700124996</v>
      </c>
      <c r="K69" s="83">
        <f t="shared" si="27"/>
        <v>2.3113940606831251</v>
      </c>
      <c r="L69" s="83">
        <f t="shared" si="26"/>
        <v>2.4682014755474997</v>
      </c>
      <c r="M69" s="83">
        <f t="shared" si="26"/>
        <v>2.6556172277043752</v>
      </c>
      <c r="N69" s="83">
        <f t="shared" si="26"/>
        <v>2.7199642461337503</v>
      </c>
      <c r="O69" s="83">
        <f t="shared" si="26"/>
        <v>2.7675930069768753</v>
      </c>
      <c r="P69" s="83">
        <f t="shared" si="26"/>
        <v>2.8554647803481248</v>
      </c>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row>
    <row r="70" spans="1:52" s="2" customFormat="1" x14ac:dyDescent="0.25">
      <c r="A70" s="180"/>
      <c r="B70" s="87" t="s">
        <v>111</v>
      </c>
      <c r="C70" s="79" t="s">
        <v>153</v>
      </c>
      <c r="D70" s="89">
        <f t="shared" ref="D70:P70" si="28">SUM(D71:D75)</f>
        <v>0</v>
      </c>
      <c r="E70" s="89">
        <f t="shared" si="28"/>
        <v>0</v>
      </c>
      <c r="F70" s="89">
        <f t="shared" si="28"/>
        <v>0</v>
      </c>
      <c r="G70" s="89">
        <f t="shared" si="28"/>
        <v>0</v>
      </c>
      <c r="H70" s="89">
        <f t="shared" si="28"/>
        <v>0</v>
      </c>
      <c r="I70" s="89">
        <f t="shared" si="28"/>
        <v>0</v>
      </c>
      <c r="J70" s="89">
        <f t="shared" si="28"/>
        <v>0</v>
      </c>
      <c r="K70" s="89">
        <f t="shared" si="28"/>
        <v>0</v>
      </c>
      <c r="L70" s="89">
        <f t="shared" si="28"/>
        <v>0</v>
      </c>
      <c r="M70" s="89">
        <f t="shared" si="28"/>
        <v>0</v>
      </c>
      <c r="N70" s="89">
        <f t="shared" si="28"/>
        <v>0</v>
      </c>
      <c r="O70" s="89">
        <f t="shared" si="28"/>
        <v>0</v>
      </c>
      <c r="P70" s="89">
        <f t="shared" si="28"/>
        <v>0</v>
      </c>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row>
    <row r="71" spans="1:52" s="2" customFormat="1" x14ac:dyDescent="0.25">
      <c r="A71" s="180"/>
      <c r="B71" s="90" t="s">
        <v>56</v>
      </c>
      <c r="C71" s="55" t="s">
        <v>154</v>
      </c>
      <c r="D71" s="185" t="s">
        <v>300</v>
      </c>
      <c r="E71" s="186"/>
      <c r="F71" s="186"/>
      <c r="G71" s="186"/>
      <c r="H71" s="186"/>
      <c r="I71" s="186"/>
      <c r="J71" s="186"/>
      <c r="K71" s="186"/>
      <c r="L71" s="186"/>
      <c r="M71" s="186"/>
      <c r="N71" s="186"/>
      <c r="O71" s="186"/>
      <c r="P71" s="18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row>
    <row r="72" spans="1:52" s="2" customFormat="1" x14ac:dyDescent="0.25">
      <c r="A72" s="180"/>
      <c r="B72" s="90" t="s">
        <v>57</v>
      </c>
      <c r="C72" s="55" t="s">
        <v>155</v>
      </c>
      <c r="D72" s="188"/>
      <c r="E72" s="189"/>
      <c r="F72" s="189"/>
      <c r="G72" s="189"/>
      <c r="H72" s="189"/>
      <c r="I72" s="189"/>
      <c r="J72" s="189"/>
      <c r="K72" s="189"/>
      <c r="L72" s="189"/>
      <c r="M72" s="189"/>
      <c r="N72" s="189"/>
      <c r="O72" s="189"/>
      <c r="P72" s="190"/>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row>
    <row r="73" spans="1:52" s="2" customFormat="1" x14ac:dyDescent="0.25">
      <c r="A73" s="180"/>
      <c r="B73" s="90" t="s">
        <v>58</v>
      </c>
      <c r="C73" s="55" t="s">
        <v>156</v>
      </c>
      <c r="D73" s="188"/>
      <c r="E73" s="189"/>
      <c r="F73" s="189"/>
      <c r="G73" s="189"/>
      <c r="H73" s="189"/>
      <c r="I73" s="189"/>
      <c r="J73" s="189"/>
      <c r="K73" s="189"/>
      <c r="L73" s="189"/>
      <c r="M73" s="189"/>
      <c r="N73" s="189"/>
      <c r="O73" s="189"/>
      <c r="P73" s="190"/>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row>
    <row r="74" spans="1:52" s="2" customFormat="1" x14ac:dyDescent="0.25">
      <c r="A74" s="180"/>
      <c r="B74" s="90" t="s">
        <v>59</v>
      </c>
      <c r="C74" s="55" t="s">
        <v>157</v>
      </c>
      <c r="D74" s="188"/>
      <c r="E74" s="189"/>
      <c r="F74" s="189"/>
      <c r="G74" s="189"/>
      <c r="H74" s="189"/>
      <c r="I74" s="189"/>
      <c r="J74" s="189"/>
      <c r="K74" s="189"/>
      <c r="L74" s="189"/>
      <c r="M74" s="189"/>
      <c r="N74" s="189"/>
      <c r="O74" s="189"/>
      <c r="P74" s="190"/>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row>
    <row r="75" spans="1:52" s="2" customFormat="1" x14ac:dyDescent="0.25">
      <c r="A75" s="180"/>
      <c r="B75" s="90" t="s">
        <v>60</v>
      </c>
      <c r="C75" s="55" t="s">
        <v>119</v>
      </c>
      <c r="D75" s="191"/>
      <c r="E75" s="192"/>
      <c r="F75" s="192"/>
      <c r="G75" s="192"/>
      <c r="H75" s="192"/>
      <c r="I75" s="192"/>
      <c r="J75" s="192"/>
      <c r="K75" s="192"/>
      <c r="L75" s="192"/>
      <c r="M75" s="192"/>
      <c r="N75" s="192"/>
      <c r="O75" s="192"/>
      <c r="P75" s="193"/>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row>
    <row r="76" spans="1:52" s="2" customFormat="1" ht="30" x14ac:dyDescent="0.25">
      <c r="A76" s="180"/>
      <c r="B76" s="78" t="s">
        <v>112</v>
      </c>
      <c r="C76" s="79" t="s">
        <v>158</v>
      </c>
      <c r="D76" s="89">
        <f t="shared" ref="D76:P76" si="29">SUM(D77:D84)</f>
        <v>0</v>
      </c>
      <c r="E76" s="89">
        <f t="shared" si="29"/>
        <v>0</v>
      </c>
      <c r="F76" s="89">
        <f t="shared" si="29"/>
        <v>0</v>
      </c>
      <c r="G76" s="89">
        <f t="shared" si="29"/>
        <v>0</v>
      </c>
      <c r="H76" s="89">
        <f t="shared" si="29"/>
        <v>0</v>
      </c>
      <c r="I76" s="89">
        <f t="shared" si="29"/>
        <v>0</v>
      </c>
      <c r="J76" s="89">
        <f t="shared" si="29"/>
        <v>0</v>
      </c>
      <c r="K76" s="89">
        <f t="shared" si="29"/>
        <v>0</v>
      </c>
      <c r="L76" s="89">
        <f t="shared" si="29"/>
        <v>0</v>
      </c>
      <c r="M76" s="89">
        <f t="shared" si="29"/>
        <v>0</v>
      </c>
      <c r="N76" s="89">
        <f t="shared" si="29"/>
        <v>0</v>
      </c>
      <c r="O76" s="89">
        <f t="shared" si="29"/>
        <v>0</v>
      </c>
      <c r="P76" s="89">
        <f t="shared" si="29"/>
        <v>0</v>
      </c>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row>
    <row r="77" spans="1:52" s="2" customFormat="1" x14ac:dyDescent="0.25">
      <c r="A77" s="180"/>
      <c r="B77" s="88" t="s">
        <v>97</v>
      </c>
      <c r="C77" s="55" t="s">
        <v>159</v>
      </c>
      <c r="D77" s="185" t="s">
        <v>300</v>
      </c>
      <c r="E77" s="186"/>
      <c r="F77" s="186"/>
      <c r="G77" s="186"/>
      <c r="H77" s="186"/>
      <c r="I77" s="186"/>
      <c r="J77" s="186"/>
      <c r="K77" s="186"/>
      <c r="L77" s="186"/>
      <c r="M77" s="186"/>
      <c r="N77" s="186"/>
      <c r="O77" s="186"/>
      <c r="P77" s="18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row>
    <row r="78" spans="1:52" s="2" customFormat="1" x14ac:dyDescent="0.25">
      <c r="A78" s="180"/>
      <c r="B78" s="88" t="s">
        <v>61</v>
      </c>
      <c r="C78" s="55" t="s">
        <v>160</v>
      </c>
      <c r="D78" s="188"/>
      <c r="E78" s="189"/>
      <c r="F78" s="189"/>
      <c r="G78" s="189"/>
      <c r="H78" s="189"/>
      <c r="I78" s="189"/>
      <c r="J78" s="189"/>
      <c r="K78" s="189"/>
      <c r="L78" s="189"/>
      <c r="M78" s="189"/>
      <c r="N78" s="189"/>
      <c r="O78" s="189"/>
      <c r="P78" s="190"/>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row>
    <row r="79" spans="1:52" s="2" customFormat="1" x14ac:dyDescent="0.25">
      <c r="A79" s="180"/>
      <c r="B79" s="88" t="s">
        <v>62</v>
      </c>
      <c r="C79" s="55" t="s">
        <v>161</v>
      </c>
      <c r="D79" s="188"/>
      <c r="E79" s="189"/>
      <c r="F79" s="189"/>
      <c r="G79" s="189"/>
      <c r="H79" s="189"/>
      <c r="I79" s="189"/>
      <c r="J79" s="189"/>
      <c r="K79" s="189"/>
      <c r="L79" s="189"/>
      <c r="M79" s="189"/>
      <c r="N79" s="189"/>
      <c r="O79" s="189"/>
      <c r="P79" s="190"/>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row>
    <row r="80" spans="1:52" s="2" customFormat="1" x14ac:dyDescent="0.25">
      <c r="A80" s="180"/>
      <c r="B80" s="88" t="s">
        <v>98</v>
      </c>
      <c r="C80" s="55" t="s">
        <v>162</v>
      </c>
      <c r="D80" s="188"/>
      <c r="E80" s="189"/>
      <c r="F80" s="189"/>
      <c r="G80" s="189"/>
      <c r="H80" s="189"/>
      <c r="I80" s="189"/>
      <c r="J80" s="189"/>
      <c r="K80" s="189"/>
      <c r="L80" s="189"/>
      <c r="M80" s="189"/>
      <c r="N80" s="189"/>
      <c r="O80" s="189"/>
      <c r="P80" s="190"/>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row>
    <row r="81" spans="1:52" s="2" customFormat="1" x14ac:dyDescent="0.25">
      <c r="A81" s="180"/>
      <c r="B81" s="88" t="s">
        <v>99</v>
      </c>
      <c r="C81" s="55" t="s">
        <v>163</v>
      </c>
      <c r="D81" s="188"/>
      <c r="E81" s="189"/>
      <c r="F81" s="189"/>
      <c r="G81" s="189"/>
      <c r="H81" s="189"/>
      <c r="I81" s="189"/>
      <c r="J81" s="189"/>
      <c r="K81" s="189"/>
      <c r="L81" s="189"/>
      <c r="M81" s="189"/>
      <c r="N81" s="189"/>
      <c r="O81" s="189"/>
      <c r="P81" s="190"/>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row>
    <row r="82" spans="1:52" s="2" customFormat="1" x14ac:dyDescent="0.25">
      <c r="A82" s="180"/>
      <c r="B82" s="88" t="s">
        <v>100</v>
      </c>
      <c r="C82" s="55" t="s">
        <v>164</v>
      </c>
      <c r="D82" s="188"/>
      <c r="E82" s="189"/>
      <c r="F82" s="189"/>
      <c r="G82" s="189"/>
      <c r="H82" s="189"/>
      <c r="I82" s="189"/>
      <c r="J82" s="189"/>
      <c r="K82" s="189"/>
      <c r="L82" s="189"/>
      <c r="M82" s="189"/>
      <c r="N82" s="189"/>
      <c r="O82" s="189"/>
      <c r="P82" s="190"/>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row>
    <row r="83" spans="1:52" s="2" customFormat="1" x14ac:dyDescent="0.25">
      <c r="A83" s="180"/>
      <c r="B83" s="88" t="s">
        <v>101</v>
      </c>
      <c r="C83" s="55" t="s">
        <v>165</v>
      </c>
      <c r="D83" s="188"/>
      <c r="E83" s="189"/>
      <c r="F83" s="189"/>
      <c r="G83" s="189"/>
      <c r="H83" s="189"/>
      <c r="I83" s="189"/>
      <c r="J83" s="189"/>
      <c r="K83" s="189"/>
      <c r="L83" s="189"/>
      <c r="M83" s="189"/>
      <c r="N83" s="189"/>
      <c r="O83" s="189"/>
      <c r="P83" s="190"/>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row>
    <row r="84" spans="1:52" s="2" customFormat="1" x14ac:dyDescent="0.25">
      <c r="A84" s="180"/>
      <c r="B84" s="88" t="s">
        <v>102</v>
      </c>
      <c r="C84" s="55" t="s">
        <v>166</v>
      </c>
      <c r="D84" s="191"/>
      <c r="E84" s="192"/>
      <c r="F84" s="192"/>
      <c r="G84" s="192"/>
      <c r="H84" s="192"/>
      <c r="I84" s="192"/>
      <c r="J84" s="192"/>
      <c r="K84" s="192"/>
      <c r="L84" s="192"/>
      <c r="M84" s="192"/>
      <c r="N84" s="192"/>
      <c r="O84" s="192"/>
      <c r="P84" s="193"/>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row>
    <row r="85" spans="1:52" s="2" customFormat="1" x14ac:dyDescent="0.25">
      <c r="A85" s="180"/>
      <c r="B85" s="87" t="s">
        <v>113</v>
      </c>
      <c r="C85" s="79" t="s">
        <v>167</v>
      </c>
      <c r="D85" s="89">
        <f t="shared" ref="D85:P85" si="30">SUM(D86:D98)</f>
        <v>0</v>
      </c>
      <c r="E85" s="89">
        <f t="shared" si="30"/>
        <v>0</v>
      </c>
      <c r="F85" s="89">
        <f t="shared" si="30"/>
        <v>0</v>
      </c>
      <c r="G85" s="89">
        <f t="shared" si="30"/>
        <v>0</v>
      </c>
      <c r="H85" s="89">
        <f t="shared" si="30"/>
        <v>0</v>
      </c>
      <c r="I85" s="89">
        <f t="shared" si="30"/>
        <v>0</v>
      </c>
      <c r="J85" s="89">
        <f t="shared" si="30"/>
        <v>0</v>
      </c>
      <c r="K85" s="89">
        <f t="shared" si="30"/>
        <v>0</v>
      </c>
      <c r="L85" s="89">
        <f t="shared" si="30"/>
        <v>0</v>
      </c>
      <c r="M85" s="89">
        <f t="shared" si="30"/>
        <v>0</v>
      </c>
      <c r="N85" s="89">
        <f t="shared" si="30"/>
        <v>0</v>
      </c>
      <c r="O85" s="89">
        <f t="shared" si="30"/>
        <v>0</v>
      </c>
      <c r="P85" s="89">
        <f t="shared" si="30"/>
        <v>0</v>
      </c>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row>
    <row r="86" spans="1:52" s="2" customFormat="1" x14ac:dyDescent="0.25">
      <c r="A86" s="180"/>
      <c r="B86" s="88" t="s">
        <v>103</v>
      </c>
      <c r="C86" s="79" t="s">
        <v>168</v>
      </c>
      <c r="D86" s="185" t="s">
        <v>300</v>
      </c>
      <c r="E86" s="186"/>
      <c r="F86" s="186"/>
      <c r="G86" s="186"/>
      <c r="H86" s="186"/>
      <c r="I86" s="186"/>
      <c r="J86" s="186"/>
      <c r="K86" s="186"/>
      <c r="L86" s="186"/>
      <c r="M86" s="186"/>
      <c r="N86" s="186"/>
      <c r="O86" s="186"/>
      <c r="P86" s="18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row>
    <row r="87" spans="1:52" s="2" customFormat="1" x14ac:dyDescent="0.25">
      <c r="A87" s="180"/>
      <c r="B87" s="88" t="s">
        <v>63</v>
      </c>
      <c r="C87" s="55" t="s">
        <v>169</v>
      </c>
      <c r="D87" s="188"/>
      <c r="E87" s="189"/>
      <c r="F87" s="189"/>
      <c r="G87" s="189"/>
      <c r="H87" s="189"/>
      <c r="I87" s="189"/>
      <c r="J87" s="189"/>
      <c r="K87" s="189"/>
      <c r="L87" s="189"/>
      <c r="M87" s="189"/>
      <c r="N87" s="189"/>
      <c r="O87" s="189"/>
      <c r="P87" s="190"/>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row>
    <row r="88" spans="1:52" s="2" customFormat="1" x14ac:dyDescent="0.25">
      <c r="A88" s="180"/>
      <c r="B88" s="88" t="s">
        <v>64</v>
      </c>
      <c r="C88" s="55" t="s">
        <v>170</v>
      </c>
      <c r="D88" s="188"/>
      <c r="E88" s="189"/>
      <c r="F88" s="189"/>
      <c r="G88" s="189"/>
      <c r="H88" s="189"/>
      <c r="I88" s="189"/>
      <c r="J88" s="189"/>
      <c r="K88" s="189"/>
      <c r="L88" s="189"/>
      <c r="M88" s="189"/>
      <c r="N88" s="189"/>
      <c r="O88" s="189"/>
      <c r="P88" s="190"/>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row>
    <row r="89" spans="1:52" s="2" customFormat="1" x14ac:dyDescent="0.25">
      <c r="A89" s="180"/>
      <c r="B89" s="88" t="s">
        <v>65</v>
      </c>
      <c r="C89" s="55" t="s">
        <v>171</v>
      </c>
      <c r="D89" s="188"/>
      <c r="E89" s="189"/>
      <c r="F89" s="189"/>
      <c r="G89" s="189"/>
      <c r="H89" s="189"/>
      <c r="I89" s="189"/>
      <c r="J89" s="189"/>
      <c r="K89" s="189"/>
      <c r="L89" s="189"/>
      <c r="M89" s="189"/>
      <c r="N89" s="189"/>
      <c r="O89" s="189"/>
      <c r="P89" s="190"/>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row>
    <row r="90" spans="1:52" s="2" customFormat="1" x14ac:dyDescent="0.25">
      <c r="A90" s="180"/>
      <c r="B90" s="88" t="s">
        <v>104</v>
      </c>
      <c r="C90" s="79" t="s">
        <v>172</v>
      </c>
      <c r="D90" s="188"/>
      <c r="E90" s="189"/>
      <c r="F90" s="189"/>
      <c r="G90" s="189"/>
      <c r="H90" s="189"/>
      <c r="I90" s="189"/>
      <c r="J90" s="189"/>
      <c r="K90" s="189"/>
      <c r="L90" s="189"/>
      <c r="M90" s="189"/>
      <c r="N90" s="189"/>
      <c r="O90" s="189"/>
      <c r="P90" s="190"/>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row>
    <row r="91" spans="1:52" s="2" customFormat="1" x14ac:dyDescent="0.25">
      <c r="A91" s="180"/>
      <c r="B91" s="88" t="s">
        <v>66</v>
      </c>
      <c r="C91" s="55" t="s">
        <v>173</v>
      </c>
      <c r="D91" s="188"/>
      <c r="E91" s="189"/>
      <c r="F91" s="189"/>
      <c r="G91" s="189"/>
      <c r="H91" s="189"/>
      <c r="I91" s="189"/>
      <c r="J91" s="189"/>
      <c r="K91" s="189"/>
      <c r="L91" s="189"/>
      <c r="M91" s="189"/>
      <c r="N91" s="189"/>
      <c r="O91" s="189"/>
      <c r="P91" s="190"/>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row>
    <row r="92" spans="1:52" s="2" customFormat="1" x14ac:dyDescent="0.25">
      <c r="A92" s="180"/>
      <c r="B92" s="88" t="s">
        <v>67</v>
      </c>
      <c r="C92" s="55" t="s">
        <v>174</v>
      </c>
      <c r="D92" s="188"/>
      <c r="E92" s="189"/>
      <c r="F92" s="189"/>
      <c r="G92" s="189"/>
      <c r="H92" s="189"/>
      <c r="I92" s="189"/>
      <c r="J92" s="189"/>
      <c r="K92" s="189"/>
      <c r="L92" s="189"/>
      <c r="M92" s="189"/>
      <c r="N92" s="189"/>
      <c r="O92" s="189"/>
      <c r="P92" s="190"/>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row>
    <row r="93" spans="1:52" s="2" customFormat="1" x14ac:dyDescent="0.25">
      <c r="A93" s="180"/>
      <c r="B93" s="88" t="s">
        <v>68</v>
      </c>
      <c r="C93" s="55" t="s">
        <v>119</v>
      </c>
      <c r="D93" s="188"/>
      <c r="E93" s="189"/>
      <c r="F93" s="189"/>
      <c r="G93" s="189"/>
      <c r="H93" s="189"/>
      <c r="I93" s="189"/>
      <c r="J93" s="189"/>
      <c r="K93" s="189"/>
      <c r="L93" s="189"/>
      <c r="M93" s="189"/>
      <c r="N93" s="189"/>
      <c r="O93" s="189"/>
      <c r="P93" s="190"/>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row>
    <row r="94" spans="1:52" s="2" customFormat="1" x14ac:dyDescent="0.25">
      <c r="A94" s="180"/>
      <c r="B94" s="88" t="s">
        <v>105</v>
      </c>
      <c r="C94" s="79" t="s">
        <v>175</v>
      </c>
      <c r="D94" s="188"/>
      <c r="E94" s="189"/>
      <c r="F94" s="189"/>
      <c r="G94" s="189"/>
      <c r="H94" s="189"/>
      <c r="I94" s="189"/>
      <c r="J94" s="189"/>
      <c r="K94" s="189"/>
      <c r="L94" s="189"/>
      <c r="M94" s="189"/>
      <c r="N94" s="189"/>
      <c r="O94" s="189"/>
      <c r="P94" s="190"/>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row>
    <row r="95" spans="1:52" s="2" customFormat="1" x14ac:dyDescent="0.25">
      <c r="A95" s="180"/>
      <c r="B95" s="88" t="s">
        <v>69</v>
      </c>
      <c r="C95" s="55" t="s">
        <v>176</v>
      </c>
      <c r="D95" s="188"/>
      <c r="E95" s="189"/>
      <c r="F95" s="189"/>
      <c r="G95" s="189"/>
      <c r="H95" s="189"/>
      <c r="I95" s="189"/>
      <c r="J95" s="189"/>
      <c r="K95" s="189"/>
      <c r="L95" s="189"/>
      <c r="M95" s="189"/>
      <c r="N95" s="189"/>
      <c r="O95" s="189"/>
      <c r="P95" s="190"/>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row>
    <row r="96" spans="1:52" s="2" customFormat="1" x14ac:dyDescent="0.25">
      <c r="A96" s="180"/>
      <c r="B96" s="88" t="s">
        <v>70</v>
      </c>
      <c r="C96" s="55" t="s">
        <v>177</v>
      </c>
      <c r="D96" s="188"/>
      <c r="E96" s="189"/>
      <c r="F96" s="189"/>
      <c r="G96" s="189"/>
      <c r="H96" s="189"/>
      <c r="I96" s="189"/>
      <c r="J96" s="189"/>
      <c r="K96" s="189"/>
      <c r="L96" s="189"/>
      <c r="M96" s="189"/>
      <c r="N96" s="189"/>
      <c r="O96" s="189"/>
      <c r="P96" s="190"/>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row>
    <row r="97" spans="1:52" s="2" customFormat="1" x14ac:dyDescent="0.25">
      <c r="A97" s="180"/>
      <c r="B97" s="88" t="s">
        <v>71</v>
      </c>
      <c r="C97" s="55" t="s">
        <v>119</v>
      </c>
      <c r="D97" s="188"/>
      <c r="E97" s="189"/>
      <c r="F97" s="189"/>
      <c r="G97" s="189"/>
      <c r="H97" s="189"/>
      <c r="I97" s="189"/>
      <c r="J97" s="189"/>
      <c r="K97" s="189"/>
      <c r="L97" s="189"/>
      <c r="M97" s="189"/>
      <c r="N97" s="189"/>
      <c r="O97" s="189"/>
      <c r="P97" s="190"/>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row>
    <row r="98" spans="1:52" s="2" customFormat="1" x14ac:dyDescent="0.25">
      <c r="A98" s="180"/>
      <c r="B98" s="88" t="s">
        <v>106</v>
      </c>
      <c r="C98" s="55" t="s">
        <v>119</v>
      </c>
      <c r="D98" s="191"/>
      <c r="E98" s="192"/>
      <c r="F98" s="192"/>
      <c r="G98" s="192"/>
      <c r="H98" s="192"/>
      <c r="I98" s="192"/>
      <c r="J98" s="192"/>
      <c r="K98" s="192"/>
      <c r="L98" s="192"/>
      <c r="M98" s="192"/>
      <c r="N98" s="192"/>
      <c r="O98" s="192"/>
      <c r="P98" s="193"/>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row>
    <row r="99" spans="1:52" s="2" customFormat="1" x14ac:dyDescent="0.25">
      <c r="A99" s="180"/>
      <c r="B99" s="87" t="s">
        <v>114</v>
      </c>
      <c r="C99" s="79" t="s">
        <v>119</v>
      </c>
      <c r="D99" s="89">
        <f t="shared" ref="D99:P99" si="31">SUM(D100:D102)</f>
        <v>0</v>
      </c>
      <c r="E99" s="89">
        <f t="shared" si="31"/>
        <v>0</v>
      </c>
      <c r="F99" s="89">
        <f t="shared" si="31"/>
        <v>0</v>
      </c>
      <c r="G99" s="89">
        <f t="shared" si="31"/>
        <v>0</v>
      </c>
      <c r="H99" s="89">
        <f t="shared" si="31"/>
        <v>0</v>
      </c>
      <c r="I99" s="89">
        <f t="shared" si="31"/>
        <v>0</v>
      </c>
      <c r="J99" s="89">
        <f t="shared" si="31"/>
        <v>0</v>
      </c>
      <c r="K99" s="89">
        <f t="shared" si="31"/>
        <v>0</v>
      </c>
      <c r="L99" s="89">
        <f t="shared" si="31"/>
        <v>0</v>
      </c>
      <c r="M99" s="89">
        <f t="shared" si="31"/>
        <v>0</v>
      </c>
      <c r="N99" s="89">
        <f t="shared" si="31"/>
        <v>0</v>
      </c>
      <c r="O99" s="89">
        <f t="shared" si="31"/>
        <v>0</v>
      </c>
      <c r="P99" s="89">
        <f t="shared" si="31"/>
        <v>0</v>
      </c>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row>
    <row r="100" spans="1:52" s="2" customFormat="1" x14ac:dyDescent="0.25">
      <c r="A100" s="180"/>
      <c r="B100" s="88" t="s">
        <v>72</v>
      </c>
      <c r="C100" s="55" t="s">
        <v>178</v>
      </c>
      <c r="D100" s="185" t="s">
        <v>300</v>
      </c>
      <c r="E100" s="186"/>
      <c r="F100" s="186"/>
      <c r="G100" s="186"/>
      <c r="H100" s="186"/>
      <c r="I100" s="186"/>
      <c r="J100" s="186"/>
      <c r="K100" s="186"/>
      <c r="L100" s="186"/>
      <c r="M100" s="186"/>
      <c r="N100" s="186"/>
      <c r="O100" s="186"/>
      <c r="P100" s="18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row>
    <row r="101" spans="1:52" s="2" customFormat="1" x14ac:dyDescent="0.25">
      <c r="A101" s="180"/>
      <c r="B101" s="88" t="s">
        <v>73</v>
      </c>
      <c r="C101" s="55" t="s">
        <v>179</v>
      </c>
      <c r="D101" s="188"/>
      <c r="E101" s="189"/>
      <c r="F101" s="189"/>
      <c r="G101" s="189"/>
      <c r="H101" s="189"/>
      <c r="I101" s="189"/>
      <c r="J101" s="189"/>
      <c r="K101" s="189"/>
      <c r="L101" s="189"/>
      <c r="M101" s="189"/>
      <c r="N101" s="189"/>
      <c r="O101" s="189"/>
      <c r="P101" s="190"/>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row>
    <row r="102" spans="1:52" s="2" customFormat="1" x14ac:dyDescent="0.25">
      <c r="A102" s="180"/>
      <c r="B102" s="88" t="s">
        <v>74</v>
      </c>
      <c r="C102" s="55" t="s">
        <v>119</v>
      </c>
      <c r="D102" s="191"/>
      <c r="E102" s="192"/>
      <c r="F102" s="192"/>
      <c r="G102" s="192"/>
      <c r="H102" s="192"/>
      <c r="I102" s="192"/>
      <c r="J102" s="192"/>
      <c r="K102" s="192"/>
      <c r="L102" s="192"/>
      <c r="M102" s="192"/>
      <c r="N102" s="192"/>
      <c r="O102" s="192"/>
      <c r="P102" s="193"/>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row>
    <row r="103" spans="1:52" ht="17.100000000000001" customHeight="1" x14ac:dyDescent="0.25">
      <c r="A103" s="11"/>
      <c r="B103" s="179" t="s">
        <v>192</v>
      </c>
      <c r="C103" s="179"/>
      <c r="D103" s="91">
        <f>SUM(D5+D11+D28+D38+D57+D65+D70+D76+D85+D99)</f>
        <v>401799.81288636231</v>
      </c>
      <c r="E103" s="91">
        <f>SUM(E5+E11+E28+E38+E57+E65+E70+E76+E85+E99)</f>
        <v>453741.02406318358</v>
      </c>
      <c r="F103" s="91">
        <f>SUM(F5+F11+F28+F38+F57+F65+F70+F76+F85+F99)</f>
        <v>468193.22151927697</v>
      </c>
      <c r="G103" s="91">
        <f t="shared" ref="G103:I103" si="32">SUM(G5+G11+G28+G38+G57+G65+G70+G76+G85+G99)</f>
        <v>519678.97323461174</v>
      </c>
      <c r="H103" s="91">
        <f t="shared" si="32"/>
        <v>490918.02437844384</v>
      </c>
      <c r="I103" s="91">
        <f t="shared" si="32"/>
        <v>512347.78717822215</v>
      </c>
      <c r="J103" s="91">
        <f>SUM(J5+J11+J28+J38+J57+J65+J70+J76+J85+J99)</f>
        <v>567805.76664440322</v>
      </c>
      <c r="K103" s="91">
        <f>SUM(K5+K11+K28+K38+K57+K65+K70+K76+K85+K99)</f>
        <v>440.75572126897845</v>
      </c>
      <c r="L103" s="91">
        <f>SUM(L5+L11+L28+L38+L57+L65+L70+L76+L85+L99)</f>
        <v>464.58017215525376</v>
      </c>
      <c r="M103" s="91">
        <f>SUM(M5+M11+M28+M38+M57+M65+M70+M76+M85+M99)</f>
        <v>506.80753530577812</v>
      </c>
      <c r="N103" s="91">
        <f>SUM(N5+N11+N28+N38+N57+N65+N70+N76+N85+N99)</f>
        <v>498.10826159248586</v>
      </c>
      <c r="O103" s="91">
        <f t="shared" ref="O103:P103" si="33">SUM(O5+O11+O28+O38+O57+O65+O70+O76+O85+O99)</f>
        <v>506.99034647827744</v>
      </c>
      <c r="P103" s="91">
        <f t="shared" si="33"/>
        <v>553.94127177785811</v>
      </c>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row>
    <row r="104" spans="1:52" x14ac:dyDescent="0.25">
      <c r="A104" s="7"/>
      <c r="B104" s="7"/>
      <c r="C104" s="48"/>
      <c r="D104" s="8"/>
      <c r="E104" s="8"/>
      <c r="F104" s="8"/>
      <c r="G104" s="8"/>
      <c r="H104" s="8"/>
      <c r="I104" s="8"/>
      <c r="J104" s="8"/>
      <c r="K104" s="8"/>
      <c r="L104" s="8"/>
      <c r="M104" s="8"/>
      <c r="N104" s="8"/>
      <c r="O104" s="8"/>
      <c r="P104" s="8"/>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row>
    <row r="105" spans="1:52" x14ac:dyDescent="0.25">
      <c r="A105" s="7"/>
      <c r="B105" s="49"/>
      <c r="C105" s="49"/>
      <c r="D105" s="50"/>
      <c r="E105" s="50"/>
      <c r="F105" s="50"/>
      <c r="G105" s="50"/>
      <c r="H105" s="50"/>
      <c r="I105" s="50"/>
      <c r="J105" s="50"/>
      <c r="K105" s="33"/>
      <c r="L105" s="33"/>
      <c r="M105" s="33"/>
      <c r="N105" s="33"/>
      <c r="O105" s="33"/>
      <c r="P105" s="33"/>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row>
    <row r="106" spans="1:52" x14ac:dyDescent="0.25">
      <c r="A106" s="7"/>
      <c r="B106" s="49"/>
      <c r="C106" s="49"/>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row>
    <row r="107" spans="1:52" x14ac:dyDescent="0.25">
      <c r="A107" s="7"/>
      <c r="B107" s="51"/>
      <c r="C107" s="52"/>
      <c r="D107" s="51"/>
      <c r="E107" s="51"/>
      <c r="F107" s="51"/>
      <c r="G107" s="51"/>
      <c r="H107" s="51"/>
      <c r="I107" s="51"/>
      <c r="J107" s="51"/>
      <c r="K107" s="51"/>
      <c r="L107" s="51"/>
      <c r="M107" s="51"/>
      <c r="N107" s="51"/>
      <c r="O107" s="51"/>
      <c r="P107" s="51"/>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row>
    <row r="108" spans="1:52" ht="15" customHeight="1" x14ac:dyDescent="0.25">
      <c r="A108" s="7"/>
      <c r="B108" s="51"/>
      <c r="C108" s="52"/>
      <c r="D108" s="51"/>
      <c r="E108" s="51"/>
      <c r="F108" s="51"/>
      <c r="G108" s="51"/>
      <c r="H108" s="51"/>
      <c r="I108" s="51"/>
      <c r="J108" s="51"/>
      <c r="K108" s="51"/>
      <c r="L108" s="51"/>
      <c r="M108" s="51"/>
      <c r="N108" s="51"/>
      <c r="O108" s="51"/>
      <c r="P108" s="51"/>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row>
    <row r="109" spans="1:52" x14ac:dyDescent="0.25">
      <c r="A109" s="7"/>
      <c r="B109" s="51"/>
      <c r="C109" s="52"/>
      <c r="D109" s="51"/>
      <c r="E109" s="51"/>
      <c r="F109" s="51"/>
      <c r="G109" s="51"/>
      <c r="H109" s="51"/>
      <c r="I109" s="51"/>
      <c r="J109" s="51"/>
      <c r="K109" s="51"/>
      <c r="L109" s="51"/>
      <c r="M109" s="51"/>
      <c r="N109" s="51"/>
      <c r="O109" s="51"/>
      <c r="P109" s="51"/>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row>
    <row r="110" spans="1:52" x14ac:dyDescent="0.25">
      <c r="A110" s="7"/>
      <c r="B110" s="51"/>
      <c r="C110" s="52"/>
      <c r="D110" s="51"/>
      <c r="E110" s="51"/>
      <c r="F110" s="51"/>
      <c r="G110" s="51"/>
      <c r="H110" s="51"/>
      <c r="I110" s="51"/>
      <c r="J110" s="51"/>
      <c r="K110" s="51"/>
      <c r="L110" s="51"/>
      <c r="M110" s="51"/>
      <c r="N110" s="51"/>
      <c r="O110" s="51"/>
      <c r="P110" s="51"/>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row>
    <row r="111" spans="1:52" x14ac:dyDescent="0.25">
      <c r="A111" s="7"/>
      <c r="B111" s="51"/>
      <c r="C111" s="52"/>
      <c r="D111" s="51"/>
      <c r="E111" s="51"/>
      <c r="F111" s="51"/>
      <c r="G111" s="51"/>
      <c r="H111" s="51"/>
      <c r="I111" s="51"/>
      <c r="J111" s="51"/>
      <c r="K111" s="51"/>
      <c r="L111" s="51"/>
      <c r="M111" s="51"/>
      <c r="N111" s="51"/>
      <c r="O111" s="51"/>
      <c r="P111" s="51"/>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row>
    <row r="112" spans="1:52" x14ac:dyDescent="0.25">
      <c r="A112" s="7"/>
      <c r="B112" s="51"/>
      <c r="C112" s="52"/>
      <c r="D112" s="51"/>
      <c r="E112" s="51"/>
      <c r="F112" s="51"/>
      <c r="G112" s="51"/>
      <c r="H112" s="51"/>
      <c r="I112" s="51"/>
      <c r="J112" s="51"/>
      <c r="K112" s="51"/>
      <c r="L112" s="51"/>
      <c r="M112" s="51"/>
      <c r="N112" s="51"/>
      <c r="O112" s="51"/>
      <c r="P112" s="51"/>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row>
    <row r="113" spans="1:52" x14ac:dyDescent="0.25">
      <c r="A113" s="7"/>
      <c r="B113" s="51"/>
      <c r="C113" s="52"/>
      <c r="D113" s="51"/>
      <c r="E113" s="51"/>
      <c r="F113" s="51"/>
      <c r="G113" s="51"/>
      <c r="H113" s="51"/>
      <c r="I113" s="51"/>
      <c r="J113" s="51"/>
      <c r="K113" s="51"/>
      <c r="L113" s="51"/>
      <c r="M113" s="51"/>
      <c r="N113" s="51"/>
      <c r="O113" s="51"/>
      <c r="P113" s="51"/>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row>
    <row r="114" spans="1:52" x14ac:dyDescent="0.25">
      <c r="A114" s="7"/>
      <c r="B114" s="51"/>
      <c r="C114" s="52"/>
      <c r="D114" s="51"/>
      <c r="E114" s="51"/>
      <c r="F114" s="51"/>
      <c r="G114" s="51"/>
      <c r="H114" s="51"/>
      <c r="I114" s="51"/>
      <c r="J114" s="51"/>
      <c r="K114" s="51"/>
      <c r="L114" s="51"/>
      <c r="M114" s="51"/>
      <c r="N114" s="51"/>
      <c r="O114" s="51"/>
      <c r="P114" s="51"/>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row>
    <row r="115" spans="1:52" x14ac:dyDescent="0.25">
      <c r="A115" s="7"/>
      <c r="B115" s="51"/>
      <c r="C115" s="52"/>
      <c r="D115" s="51"/>
      <c r="E115" s="51"/>
      <c r="F115" s="51"/>
      <c r="G115" s="51"/>
      <c r="H115" s="51"/>
      <c r="I115" s="51"/>
      <c r="J115" s="51"/>
      <c r="K115" s="51"/>
      <c r="L115" s="51"/>
      <c r="M115" s="51"/>
      <c r="N115" s="51"/>
      <c r="O115" s="51"/>
      <c r="P115" s="51"/>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row>
    <row r="116" spans="1:52" x14ac:dyDescent="0.25">
      <c r="A116" s="7"/>
      <c r="B116" s="51"/>
      <c r="C116" s="52"/>
      <c r="D116" s="51"/>
      <c r="E116" s="51"/>
      <c r="F116" s="51"/>
      <c r="G116" s="51"/>
      <c r="H116" s="51"/>
      <c r="I116" s="51"/>
      <c r="J116" s="51"/>
      <c r="K116" s="51"/>
      <c r="L116" s="51"/>
      <c r="M116" s="51"/>
      <c r="N116" s="51"/>
      <c r="O116" s="51"/>
      <c r="P116" s="51"/>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row>
    <row r="117" spans="1:52" x14ac:dyDescent="0.25">
      <c r="A117" s="7"/>
      <c r="B117" s="51"/>
      <c r="C117" s="52"/>
      <c r="D117" s="51"/>
      <c r="E117" s="51"/>
      <c r="F117" s="51"/>
      <c r="G117" s="51"/>
      <c r="H117" s="51"/>
      <c r="I117" s="51"/>
      <c r="J117" s="51"/>
      <c r="K117" s="51"/>
      <c r="L117" s="51"/>
      <c r="M117" s="51"/>
      <c r="N117" s="51"/>
      <c r="O117" s="51"/>
      <c r="P117" s="51"/>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row>
    <row r="118" spans="1:52" x14ac:dyDescent="0.25">
      <c r="A118" s="7"/>
      <c r="B118" s="51"/>
      <c r="C118" s="52"/>
      <c r="D118" s="51"/>
      <c r="E118" s="51"/>
      <c r="F118" s="51"/>
      <c r="G118" s="51"/>
      <c r="H118" s="51"/>
      <c r="I118" s="51"/>
      <c r="J118" s="51"/>
      <c r="K118" s="51"/>
      <c r="L118" s="51"/>
      <c r="M118" s="51"/>
      <c r="N118" s="51"/>
      <c r="O118" s="51"/>
      <c r="P118" s="51"/>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row>
    <row r="119" spans="1:52" x14ac:dyDescent="0.25">
      <c r="A119" s="7"/>
      <c r="B119" s="51"/>
      <c r="C119" s="52"/>
      <c r="D119" s="51"/>
      <c r="E119" s="51"/>
      <c r="F119" s="51"/>
      <c r="G119" s="51"/>
      <c r="H119" s="51"/>
      <c r="I119" s="51"/>
      <c r="J119" s="51"/>
      <c r="K119" s="51"/>
      <c r="L119" s="51"/>
      <c r="M119" s="51"/>
      <c r="N119" s="51"/>
      <c r="O119" s="51"/>
      <c r="P119" s="51"/>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row>
    <row r="120" spans="1:52" x14ac:dyDescent="0.25">
      <c r="A120" s="7"/>
      <c r="B120" s="51"/>
      <c r="C120" s="52"/>
      <c r="D120" s="51"/>
      <c r="E120" s="51"/>
      <c r="F120" s="51"/>
      <c r="G120" s="51"/>
      <c r="H120" s="51"/>
      <c r="I120" s="51"/>
      <c r="J120" s="51"/>
      <c r="K120" s="51"/>
      <c r="L120" s="51"/>
      <c r="M120" s="51"/>
      <c r="N120" s="51"/>
      <c r="O120" s="51"/>
      <c r="P120" s="51"/>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row>
    <row r="121" spans="1:52" x14ac:dyDescent="0.25">
      <c r="A121" s="7"/>
      <c r="B121" s="51"/>
      <c r="C121" s="52"/>
      <c r="D121" s="51"/>
      <c r="E121" s="51"/>
      <c r="F121" s="51"/>
      <c r="G121" s="51"/>
      <c r="H121" s="51"/>
      <c r="I121" s="51"/>
      <c r="J121" s="51"/>
      <c r="K121" s="51"/>
      <c r="L121" s="51"/>
      <c r="M121" s="51"/>
      <c r="N121" s="51"/>
      <c r="O121" s="51"/>
      <c r="P121" s="51"/>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row>
    <row r="122" spans="1:52" x14ac:dyDescent="0.25">
      <c r="A122" s="7"/>
      <c r="B122" s="51"/>
      <c r="C122" s="52"/>
      <c r="D122" s="51"/>
      <c r="E122" s="51"/>
      <c r="F122" s="51"/>
      <c r="G122" s="51"/>
      <c r="H122" s="51"/>
      <c r="I122" s="51"/>
      <c r="J122" s="51"/>
      <c r="K122" s="51"/>
      <c r="L122" s="51"/>
      <c r="M122" s="51"/>
      <c r="N122" s="51"/>
      <c r="O122" s="51"/>
      <c r="P122" s="51"/>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row>
    <row r="123" spans="1:52" x14ac:dyDescent="0.25">
      <c r="A123" s="7"/>
      <c r="B123" s="51"/>
      <c r="C123" s="52"/>
      <c r="D123" s="51"/>
      <c r="E123" s="51"/>
      <c r="F123" s="51"/>
      <c r="G123" s="51"/>
      <c r="H123" s="51"/>
      <c r="I123" s="51"/>
      <c r="J123" s="51"/>
      <c r="K123" s="51"/>
      <c r="L123" s="51"/>
      <c r="M123" s="51"/>
      <c r="N123" s="51"/>
      <c r="O123" s="51"/>
      <c r="P123" s="51"/>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row>
    <row r="124" spans="1:52" x14ac:dyDescent="0.25">
      <c r="A124" s="7"/>
      <c r="B124" s="51"/>
      <c r="C124" s="52"/>
      <c r="D124" s="51"/>
      <c r="E124" s="51"/>
      <c r="F124" s="51"/>
      <c r="G124" s="51"/>
      <c r="H124" s="51"/>
      <c r="I124" s="51"/>
      <c r="J124" s="51"/>
      <c r="K124" s="51"/>
      <c r="L124" s="51"/>
      <c r="M124" s="51"/>
      <c r="N124" s="51"/>
      <c r="O124" s="51"/>
      <c r="P124" s="51"/>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row>
    <row r="125" spans="1:52" x14ac:dyDescent="0.25">
      <c r="A125" s="7"/>
      <c r="B125" s="51"/>
      <c r="C125" s="52"/>
      <c r="D125" s="51"/>
      <c r="E125" s="51"/>
      <c r="F125" s="51"/>
      <c r="G125" s="51"/>
      <c r="H125" s="51"/>
      <c r="I125" s="51"/>
      <c r="J125" s="51"/>
      <c r="K125" s="51"/>
      <c r="L125" s="51"/>
      <c r="M125" s="51"/>
      <c r="N125" s="51"/>
      <c r="O125" s="51"/>
      <c r="P125" s="51"/>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row>
    <row r="126" spans="1:52" x14ac:dyDescent="0.25">
      <c r="A126" s="7"/>
      <c r="B126" s="51"/>
      <c r="C126" s="52"/>
      <c r="D126" s="51"/>
      <c r="E126" s="51"/>
      <c r="F126" s="51"/>
      <c r="G126" s="51"/>
      <c r="H126" s="51"/>
      <c r="I126" s="51"/>
      <c r="J126" s="51"/>
      <c r="K126" s="51"/>
      <c r="L126" s="51"/>
      <c r="M126" s="51"/>
      <c r="N126" s="51"/>
      <c r="O126" s="51"/>
      <c r="P126" s="51"/>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row>
    <row r="127" spans="1:52" x14ac:dyDescent="0.25">
      <c r="A127" s="7"/>
      <c r="B127" s="51"/>
      <c r="C127" s="52"/>
      <c r="D127" s="51"/>
      <c r="E127" s="51"/>
      <c r="F127" s="51"/>
      <c r="G127" s="51"/>
      <c r="H127" s="51"/>
      <c r="I127" s="51"/>
      <c r="J127" s="51"/>
      <c r="K127" s="51"/>
      <c r="L127" s="51"/>
      <c r="M127" s="51"/>
      <c r="N127" s="51"/>
      <c r="O127" s="51"/>
      <c r="P127" s="51"/>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row>
    <row r="128" spans="1:52" x14ac:dyDescent="0.25">
      <c r="A128" s="7"/>
      <c r="B128" s="51"/>
      <c r="C128" s="52"/>
      <c r="D128" s="51"/>
      <c r="E128" s="53"/>
      <c r="F128" s="51"/>
      <c r="G128" s="51"/>
      <c r="H128" s="53"/>
      <c r="I128" s="51"/>
      <c r="J128" s="51"/>
      <c r="K128" s="51"/>
      <c r="L128" s="51"/>
      <c r="M128" s="51"/>
      <c r="N128" s="51"/>
      <c r="O128" s="51"/>
      <c r="P128" s="51"/>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row>
    <row r="129" spans="1:52" x14ac:dyDescent="0.25">
      <c r="A129" s="7"/>
      <c r="B129" s="7"/>
      <c r="C129" s="45"/>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row>
    <row r="130" spans="1:52" x14ac:dyDescent="0.25">
      <c r="A130" s="7"/>
      <c r="B130" s="7"/>
      <c r="C130" s="45"/>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row>
    <row r="131" spans="1:52" x14ac:dyDescent="0.25">
      <c r="A131" s="7"/>
      <c r="B131" s="7"/>
      <c r="C131" s="45"/>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row>
    <row r="132" spans="1:52" x14ac:dyDescent="0.25">
      <c r="A132" s="7"/>
      <c r="B132" s="7"/>
      <c r="C132" s="45"/>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row>
    <row r="133" spans="1:52" x14ac:dyDescent="0.25">
      <c r="A133" s="7"/>
      <c r="B133" s="7"/>
      <c r="C133" s="45"/>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row>
    <row r="134" spans="1:52" x14ac:dyDescent="0.25">
      <c r="A134" s="7"/>
      <c r="B134" s="7"/>
      <c r="C134" s="45"/>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row>
    <row r="135" spans="1:52" x14ac:dyDescent="0.25">
      <c r="A135" s="7"/>
      <c r="B135" s="7"/>
      <c r="C135" s="45"/>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row>
    <row r="136" spans="1:52" x14ac:dyDescent="0.25">
      <c r="A136" s="7"/>
      <c r="B136" s="7"/>
      <c r="C136" s="45"/>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row>
    <row r="137" spans="1:52" x14ac:dyDescent="0.25">
      <c r="A137" s="7"/>
      <c r="B137" s="7"/>
      <c r="C137" s="45"/>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row>
    <row r="138" spans="1:52" x14ac:dyDescent="0.25">
      <c r="A138" s="7"/>
      <c r="B138" s="7"/>
      <c r="C138" s="45"/>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row>
    <row r="139" spans="1:52" x14ac:dyDescent="0.25">
      <c r="A139" s="7"/>
      <c r="B139" s="7"/>
      <c r="C139" s="45"/>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row>
    <row r="140" spans="1:52" x14ac:dyDescent="0.25">
      <c r="A140" s="7"/>
      <c r="B140" s="7"/>
      <c r="C140" s="45"/>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row>
    <row r="141" spans="1:52" x14ac:dyDescent="0.25">
      <c r="A141" s="7"/>
      <c r="B141" s="7"/>
      <c r="C141" s="45"/>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row>
    <row r="142" spans="1:52" x14ac:dyDescent="0.25">
      <c r="A142" s="7"/>
      <c r="B142" s="7"/>
      <c r="C142" s="45"/>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row>
    <row r="143" spans="1:52" x14ac:dyDescent="0.25">
      <c r="A143" s="7"/>
      <c r="B143" s="7"/>
      <c r="C143" s="45"/>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row>
    <row r="144" spans="1:52" x14ac:dyDescent="0.25">
      <c r="A144" s="7"/>
      <c r="B144" s="7"/>
      <c r="C144" s="45"/>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row>
    <row r="145" spans="1:52" x14ac:dyDescent="0.25">
      <c r="A145" s="7"/>
      <c r="B145" s="7"/>
      <c r="C145" s="45"/>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row>
    <row r="146" spans="1:52" x14ac:dyDescent="0.25">
      <c r="A146" s="7"/>
      <c r="B146" s="7"/>
      <c r="C146" s="45"/>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row>
    <row r="147" spans="1:52" x14ac:dyDescent="0.25">
      <c r="A147" s="7"/>
      <c r="B147" s="7"/>
      <c r="C147" s="45"/>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row>
    <row r="148" spans="1:52" x14ac:dyDescent="0.25">
      <c r="A148" s="7"/>
      <c r="B148" s="7"/>
      <c r="C148" s="45"/>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row>
    <row r="149" spans="1:52" x14ac:dyDescent="0.25">
      <c r="A149" s="7"/>
      <c r="B149" s="7"/>
      <c r="C149" s="45"/>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row>
    <row r="150" spans="1:52" x14ac:dyDescent="0.25">
      <c r="A150" s="7"/>
      <c r="B150" s="7"/>
      <c r="C150" s="45"/>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row>
    <row r="151" spans="1:52" x14ac:dyDescent="0.25">
      <c r="A151" s="7"/>
      <c r="B151" s="7"/>
      <c r="C151" s="45"/>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row>
    <row r="152" spans="1:52" x14ac:dyDescent="0.25">
      <c r="A152" s="7"/>
      <c r="B152" s="7"/>
      <c r="C152" s="45"/>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row>
    <row r="153" spans="1:52" x14ac:dyDescent="0.25">
      <c r="A153" s="7"/>
      <c r="B153" s="7"/>
      <c r="C153" s="45"/>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row>
    <row r="154" spans="1:52" x14ac:dyDescent="0.25">
      <c r="A154" s="7"/>
      <c r="B154" s="7"/>
      <c r="C154" s="45"/>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row>
    <row r="155" spans="1:52" x14ac:dyDescent="0.25">
      <c r="A155" s="7"/>
      <c r="B155" s="7"/>
      <c r="C155" s="45"/>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row>
    <row r="156" spans="1:52" x14ac:dyDescent="0.25">
      <c r="A156" s="7"/>
      <c r="B156" s="7"/>
      <c r="C156" s="45"/>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row>
    <row r="157" spans="1:52" x14ac:dyDescent="0.25">
      <c r="A157" s="7"/>
      <c r="B157" s="7"/>
      <c r="C157" s="45"/>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row>
    <row r="158" spans="1:52" x14ac:dyDescent="0.25">
      <c r="A158" s="7"/>
      <c r="B158" s="7"/>
      <c r="C158" s="45"/>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row>
    <row r="159" spans="1:52" x14ac:dyDescent="0.25">
      <c r="A159" s="7"/>
      <c r="B159" s="7"/>
      <c r="C159" s="45"/>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row>
    <row r="160" spans="1:52" x14ac:dyDescent="0.25">
      <c r="A160" s="7"/>
      <c r="B160" s="7"/>
      <c r="C160" s="45"/>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row>
    <row r="161" spans="1:52" x14ac:dyDescent="0.25">
      <c r="A161" s="7"/>
      <c r="B161" s="7"/>
      <c r="C161" s="45"/>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row>
    <row r="162" spans="1:52" x14ac:dyDescent="0.25">
      <c r="A162" s="7"/>
      <c r="B162" s="7"/>
      <c r="C162" s="45"/>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row>
    <row r="163" spans="1:52" x14ac:dyDescent="0.25">
      <c r="A163" s="7"/>
      <c r="B163" s="7"/>
      <c r="C163" s="45"/>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row>
    <row r="164" spans="1:52" x14ac:dyDescent="0.25">
      <c r="A164" s="7"/>
      <c r="B164" s="7"/>
      <c r="C164" s="45"/>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row>
    <row r="165" spans="1:52" x14ac:dyDescent="0.25">
      <c r="A165" s="7"/>
      <c r="B165" s="7"/>
      <c r="C165" s="45"/>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row>
    <row r="166" spans="1:52" x14ac:dyDescent="0.25">
      <c r="A166" s="7"/>
      <c r="B166" s="7"/>
      <c r="C166" s="45"/>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row>
    <row r="167" spans="1:52" x14ac:dyDescent="0.25">
      <c r="A167" s="7"/>
      <c r="B167" s="7"/>
      <c r="C167" s="45"/>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row>
    <row r="168" spans="1:52" x14ac:dyDescent="0.25">
      <c r="A168" s="7"/>
      <c r="B168" s="7"/>
      <c r="C168" s="45"/>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row>
    <row r="169" spans="1:52" x14ac:dyDescent="0.25">
      <c r="A169" s="7"/>
      <c r="B169" s="7"/>
      <c r="C169" s="45"/>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row>
    <row r="170" spans="1:52" x14ac:dyDescent="0.25">
      <c r="A170" s="7"/>
      <c r="B170" s="7"/>
      <c r="C170" s="45"/>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row>
    <row r="171" spans="1:52" x14ac:dyDescent="0.25">
      <c r="A171" s="7"/>
      <c r="B171" s="7"/>
      <c r="C171" s="45"/>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row>
    <row r="172" spans="1:52" x14ac:dyDescent="0.25">
      <c r="A172" s="7"/>
      <c r="B172" s="7"/>
      <c r="C172" s="45"/>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row>
    <row r="173" spans="1:52" x14ac:dyDescent="0.25">
      <c r="A173" s="7"/>
      <c r="B173" s="7"/>
      <c r="C173" s="45"/>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row>
    <row r="174" spans="1:52" x14ac:dyDescent="0.25">
      <c r="A174" s="7"/>
      <c r="B174" s="7"/>
      <c r="C174" s="45"/>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row>
    <row r="175" spans="1:52" x14ac:dyDescent="0.25">
      <c r="A175" s="7"/>
      <c r="B175" s="7"/>
      <c r="C175" s="45"/>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row>
    <row r="176" spans="1:52" x14ac:dyDescent="0.25">
      <c r="A176" s="7"/>
      <c r="B176" s="7"/>
      <c r="C176" s="45"/>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row>
    <row r="177" spans="1:52" x14ac:dyDescent="0.25">
      <c r="A177" s="7"/>
      <c r="B177" s="7"/>
      <c r="C177" s="45"/>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row>
    <row r="178" spans="1:52" x14ac:dyDescent="0.25">
      <c r="A178" s="7"/>
      <c r="B178" s="7"/>
      <c r="C178" s="45"/>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row>
    <row r="179" spans="1:52" x14ac:dyDescent="0.25">
      <c r="A179" s="7"/>
      <c r="B179" s="7"/>
      <c r="C179" s="45"/>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row>
    <row r="180" spans="1:52" x14ac:dyDescent="0.25">
      <c r="A180" s="7"/>
      <c r="B180" s="7"/>
      <c r="C180" s="45"/>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row>
    <row r="181" spans="1:52" x14ac:dyDescent="0.25">
      <c r="A181" s="7"/>
      <c r="B181" s="7"/>
      <c r="C181" s="45"/>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row>
    <row r="182" spans="1:52" x14ac:dyDescent="0.25">
      <c r="A182" s="7"/>
      <c r="B182" s="7"/>
      <c r="C182" s="45"/>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row>
    <row r="183" spans="1:52" x14ac:dyDescent="0.25">
      <c r="A183" s="7"/>
      <c r="B183" s="7"/>
      <c r="C183" s="45"/>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row>
    <row r="184" spans="1:52" x14ac:dyDescent="0.25">
      <c r="A184" s="7"/>
      <c r="B184" s="7"/>
      <c r="C184" s="45"/>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row>
    <row r="185" spans="1:52" x14ac:dyDescent="0.25">
      <c r="A185" s="7"/>
      <c r="B185" s="7"/>
      <c r="C185" s="45"/>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row>
    <row r="186" spans="1:52" x14ac:dyDescent="0.25">
      <c r="A186" s="7"/>
      <c r="B186" s="7"/>
      <c r="C186" s="45"/>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row>
    <row r="187" spans="1:52" x14ac:dyDescent="0.25">
      <c r="A187" s="7"/>
      <c r="B187" s="7"/>
      <c r="C187" s="45"/>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row>
    <row r="188" spans="1:52" x14ac:dyDescent="0.25">
      <c r="A188" s="7"/>
      <c r="B188" s="7"/>
      <c r="C188" s="45"/>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row>
    <row r="189" spans="1:52" x14ac:dyDescent="0.25">
      <c r="A189" s="7"/>
      <c r="B189" s="7"/>
      <c r="C189" s="45"/>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row>
    <row r="190" spans="1:52" x14ac:dyDescent="0.25">
      <c r="A190" s="7"/>
      <c r="B190" s="7"/>
      <c r="C190" s="45"/>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row>
    <row r="191" spans="1:52" x14ac:dyDescent="0.25">
      <c r="A191" s="7"/>
      <c r="B191" s="7"/>
      <c r="C191" s="45"/>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row>
    <row r="192" spans="1:52" x14ac:dyDescent="0.25">
      <c r="A192" s="7"/>
      <c r="B192" s="7"/>
      <c r="C192" s="45"/>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row>
    <row r="193" spans="1:52" x14ac:dyDescent="0.25">
      <c r="A193" s="7"/>
      <c r="B193" s="7"/>
      <c r="C193" s="45"/>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row>
    <row r="194" spans="1:52" x14ac:dyDescent="0.25">
      <c r="A194" s="7"/>
      <c r="B194" s="7"/>
      <c r="C194" s="45"/>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row>
    <row r="195" spans="1:52" x14ac:dyDescent="0.25">
      <c r="A195" s="7"/>
      <c r="B195" s="7"/>
      <c r="C195" s="45"/>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row>
    <row r="196" spans="1:52" x14ac:dyDescent="0.25">
      <c r="A196" s="7"/>
      <c r="B196" s="7"/>
      <c r="C196" s="45"/>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row>
    <row r="197" spans="1:52" x14ac:dyDescent="0.25">
      <c r="A197" s="7"/>
      <c r="B197" s="7"/>
      <c r="C197" s="45"/>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row>
    <row r="198" spans="1:52" x14ac:dyDescent="0.25">
      <c r="A198" s="7"/>
      <c r="B198" s="7"/>
      <c r="C198" s="45"/>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row>
    <row r="199" spans="1:52" x14ac:dyDescent="0.25">
      <c r="A199" s="7"/>
      <c r="B199" s="7"/>
      <c r="C199" s="45"/>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row>
    <row r="200" spans="1:52" x14ac:dyDescent="0.25">
      <c r="A200" s="7"/>
      <c r="B200" s="7"/>
      <c r="C200" s="45"/>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row>
    <row r="201" spans="1:52" x14ac:dyDescent="0.25">
      <c r="A201" s="7"/>
      <c r="B201" s="7"/>
      <c r="C201" s="45"/>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row>
    <row r="202" spans="1:52" x14ac:dyDescent="0.25">
      <c r="A202" s="7"/>
      <c r="B202" s="7"/>
      <c r="C202" s="45"/>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row>
    <row r="203" spans="1:52" x14ac:dyDescent="0.25">
      <c r="A203" s="7"/>
      <c r="B203" s="7"/>
      <c r="C203" s="45"/>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row>
    <row r="204" spans="1:52" x14ac:dyDescent="0.25">
      <c r="A204" s="7"/>
      <c r="B204" s="7"/>
      <c r="C204" s="45"/>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row>
    <row r="205" spans="1:52" x14ac:dyDescent="0.25">
      <c r="A205" s="7"/>
      <c r="B205" s="7"/>
      <c r="C205" s="45"/>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row>
    <row r="206" spans="1:52" x14ac:dyDescent="0.25">
      <c r="A206" s="7"/>
      <c r="B206" s="7"/>
      <c r="C206" s="45"/>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row>
    <row r="207" spans="1:52" x14ac:dyDescent="0.25">
      <c r="A207" s="7"/>
      <c r="B207" s="7"/>
      <c r="C207" s="45"/>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row>
    <row r="208" spans="1:52" x14ac:dyDescent="0.25">
      <c r="A208" s="7"/>
      <c r="B208" s="7"/>
      <c r="C208" s="45"/>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row>
    <row r="209" spans="1:52" x14ac:dyDescent="0.25">
      <c r="A209" s="7"/>
      <c r="B209" s="7"/>
      <c r="C209" s="45"/>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row>
    <row r="210" spans="1:52" x14ac:dyDescent="0.25">
      <c r="A210" s="7"/>
      <c r="B210" s="7"/>
      <c r="C210" s="45"/>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row>
    <row r="211" spans="1:52" x14ac:dyDescent="0.25">
      <c r="A211" s="7"/>
      <c r="B211" s="7"/>
      <c r="C211" s="45"/>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row>
    <row r="212" spans="1:52" x14ac:dyDescent="0.25">
      <c r="A212" s="7"/>
      <c r="B212" s="7"/>
      <c r="C212" s="45"/>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row>
    <row r="213" spans="1:52" x14ac:dyDescent="0.25">
      <c r="A213" s="7"/>
      <c r="B213" s="7"/>
      <c r="C213" s="45"/>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row>
    <row r="214" spans="1:52" x14ac:dyDescent="0.25">
      <c r="A214" s="7"/>
      <c r="B214" s="7"/>
      <c r="C214" s="45"/>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row>
    <row r="215" spans="1:52" x14ac:dyDescent="0.25">
      <c r="A215" s="7"/>
      <c r="B215" s="7"/>
      <c r="C215" s="45"/>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row>
    <row r="216" spans="1:52" x14ac:dyDescent="0.25">
      <c r="A216" s="7"/>
      <c r="B216" s="7"/>
      <c r="C216" s="45"/>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row>
    <row r="217" spans="1:52" x14ac:dyDescent="0.25">
      <c r="A217" s="7"/>
      <c r="B217" s="7"/>
      <c r="C217" s="45"/>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row>
    <row r="218" spans="1:52" x14ac:dyDescent="0.25">
      <c r="A218" s="7"/>
      <c r="B218" s="7"/>
      <c r="C218" s="45"/>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row>
    <row r="219" spans="1:52" x14ac:dyDescent="0.25">
      <c r="A219" s="7"/>
      <c r="B219" s="7"/>
      <c r="C219" s="45"/>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row>
    <row r="220" spans="1:52" x14ac:dyDescent="0.25">
      <c r="A220" s="7"/>
      <c r="B220" s="7"/>
      <c r="C220" s="45"/>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row>
    <row r="221" spans="1:52" x14ac:dyDescent="0.25">
      <c r="A221" s="7"/>
      <c r="B221" s="7"/>
      <c r="C221" s="45"/>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row>
    <row r="222" spans="1:52" x14ac:dyDescent="0.25">
      <c r="A222" s="7"/>
      <c r="B222" s="7"/>
      <c r="C222" s="45"/>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row>
  </sheetData>
  <mergeCells count="14">
    <mergeCell ref="K2:P2"/>
    <mergeCell ref="B103:C103"/>
    <mergeCell ref="A28:A102"/>
    <mergeCell ref="A5:A27"/>
    <mergeCell ref="D2:J2"/>
    <mergeCell ref="D6:P6"/>
    <mergeCell ref="D25:P27"/>
    <mergeCell ref="D41:P41"/>
    <mergeCell ref="D53:P56"/>
    <mergeCell ref="D71:P75"/>
    <mergeCell ref="D77:P84"/>
    <mergeCell ref="D86:P98"/>
    <mergeCell ref="D100:P102"/>
    <mergeCell ref="K4:P4"/>
  </mergeCells>
  <phoneticPr fontId="15" type="noConversion"/>
  <pageMargins left="0.7" right="0.7" top="0.75" bottom="0.75" header="0.3" footer="0.3"/>
  <pageSetup paperSize="9" scale="75" orientation="landscape" horizontalDpi="0" verticalDpi="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2"/>
  <sheetViews>
    <sheetView zoomScale="59" zoomScaleNormal="59" workbookViewId="0">
      <selection activeCell="A2" sqref="A2:H21"/>
    </sheetView>
  </sheetViews>
  <sheetFormatPr defaultColWidth="10.85546875" defaultRowHeight="15" x14ac:dyDescent="0.25"/>
  <cols>
    <col min="1" max="1" width="5.85546875" style="7" customWidth="1"/>
    <col min="2" max="2" width="51.85546875" style="7" customWidth="1"/>
    <col min="3" max="8" width="5.85546875" style="7" bestFit="1" customWidth="1"/>
    <col min="9" max="16384" width="10.85546875" style="7"/>
  </cols>
  <sheetData>
    <row r="1" spans="1:14" x14ac:dyDescent="0.25">
      <c r="A1" s="61" t="s">
        <v>313</v>
      </c>
    </row>
    <row r="2" spans="1:14" x14ac:dyDescent="0.25">
      <c r="A2" s="92"/>
      <c r="B2" s="92"/>
      <c r="C2" s="197" t="s">
        <v>320</v>
      </c>
      <c r="D2" s="197"/>
      <c r="E2" s="197"/>
      <c r="F2" s="197"/>
      <c r="G2" s="197"/>
      <c r="H2" s="197"/>
    </row>
    <row r="3" spans="1:14" x14ac:dyDescent="0.25">
      <c r="A3" s="197" t="s">
        <v>225</v>
      </c>
      <c r="B3" s="197"/>
      <c r="C3" s="93">
        <v>2007</v>
      </c>
      <c r="D3" s="93">
        <v>2008</v>
      </c>
      <c r="E3" s="93">
        <v>2009</v>
      </c>
      <c r="F3" s="93">
        <v>2010</v>
      </c>
      <c r="G3" s="93">
        <v>2011</v>
      </c>
      <c r="H3" s="93">
        <v>2012</v>
      </c>
    </row>
    <row r="4" spans="1:14" x14ac:dyDescent="0.25">
      <c r="A4" s="94" t="s">
        <v>226</v>
      </c>
      <c r="B4" s="94" t="s">
        <v>227</v>
      </c>
      <c r="C4" s="197" t="s">
        <v>307</v>
      </c>
      <c r="D4" s="197"/>
      <c r="E4" s="197"/>
      <c r="F4" s="197"/>
      <c r="G4" s="197"/>
      <c r="H4" s="197"/>
    </row>
    <row r="5" spans="1:14" x14ac:dyDescent="0.25">
      <c r="A5" s="95">
        <v>1</v>
      </c>
      <c r="B5" s="96" t="s">
        <v>228</v>
      </c>
      <c r="C5" s="97">
        <f>'1'!K12+'1'!K58</f>
        <v>173.18043248993874</v>
      </c>
      <c r="D5" s="97">
        <f>'1'!L12+'1'!L58</f>
        <v>165.55820740778921</v>
      </c>
      <c r="E5" s="97">
        <f>'1'!M12+'1'!M58</f>
        <v>178.51426726082065</v>
      </c>
      <c r="F5" s="97">
        <f>'1'!N12+'1'!N58</f>
        <v>184.61199943096662</v>
      </c>
      <c r="G5" s="97">
        <f>'1'!O12+'1'!O58</f>
        <v>190.66555571805873</v>
      </c>
      <c r="H5" s="97">
        <f>'1'!P12+'1'!P58</f>
        <v>196.78233454764901</v>
      </c>
      <c r="I5" s="33"/>
      <c r="J5" s="33"/>
      <c r="K5" s="33"/>
      <c r="L5" s="33"/>
      <c r="M5" s="33"/>
      <c r="N5" s="33"/>
    </row>
    <row r="6" spans="1:14" x14ac:dyDescent="0.25">
      <c r="A6" s="95">
        <v>2</v>
      </c>
      <c r="B6" s="95" t="s">
        <v>229</v>
      </c>
      <c r="C6" s="97">
        <f>'1'!K14+'1'!K38</f>
        <v>50.198428652647081</v>
      </c>
      <c r="D6" s="97">
        <f>'1'!L14+'1'!L38</f>
        <v>49.190663221192509</v>
      </c>
      <c r="E6" s="97">
        <f>'1'!M14+'1'!M38</f>
        <v>54.893665429205996</v>
      </c>
      <c r="F6" s="97">
        <f>'1'!N14+'1'!N38</f>
        <v>58.190948376634907</v>
      </c>
      <c r="G6" s="97">
        <f>'1'!O14+'1'!O38</f>
        <v>51.90144158099281</v>
      </c>
      <c r="H6" s="97">
        <f>'1'!P14+'1'!P38</f>
        <v>45.309529990707524</v>
      </c>
      <c r="I6" s="33"/>
      <c r="J6" s="33"/>
      <c r="K6" s="33"/>
      <c r="L6" s="33"/>
      <c r="M6" s="33"/>
      <c r="N6" s="33"/>
    </row>
    <row r="7" spans="1:14" x14ac:dyDescent="0.25">
      <c r="A7" s="95">
        <v>3</v>
      </c>
      <c r="B7" s="95" t="s">
        <v>230</v>
      </c>
      <c r="C7" s="97">
        <f>'1'!K59</f>
        <v>1.6103832931852757</v>
      </c>
      <c r="D7" s="97">
        <f>'1'!L59</f>
        <v>1.0694363700701413</v>
      </c>
      <c r="E7" s="97">
        <f>'1'!M59</f>
        <v>0.8576511811596631</v>
      </c>
      <c r="F7" s="97">
        <f>'1'!N59</f>
        <v>3.0357159342958715</v>
      </c>
      <c r="G7" s="97">
        <f>'1'!O59</f>
        <v>1.6174143968121006</v>
      </c>
      <c r="H7" s="97">
        <f>'1'!P59</f>
        <v>1.1474994620360863</v>
      </c>
      <c r="I7" s="33"/>
      <c r="J7" s="33"/>
      <c r="K7" s="33"/>
      <c r="L7" s="33"/>
      <c r="M7" s="33"/>
      <c r="N7" s="33"/>
    </row>
    <row r="8" spans="1:14" x14ac:dyDescent="0.25">
      <c r="A8" s="95">
        <v>4</v>
      </c>
      <c r="B8" s="98" t="s">
        <v>28</v>
      </c>
      <c r="C8" s="97">
        <f>'1'!K13+'1'!K60+'1'!K62+'1'!K63+'1'!K64</f>
        <v>3.0412892150939248</v>
      </c>
      <c r="D8" s="97">
        <f>'1'!L13+'1'!L60+'1'!L62+'1'!L63+'1'!L64</f>
        <v>6.2092834554731429</v>
      </c>
      <c r="E8" s="97">
        <f>'1'!M13+'1'!M60+'1'!M62+'1'!M63+'1'!M64</f>
        <v>6.9085094655271631</v>
      </c>
      <c r="F8" s="97">
        <f>'1'!N13+'1'!N60+'1'!N62+'1'!N63+'1'!N64</f>
        <v>17.971744927836877</v>
      </c>
      <c r="G8" s="97">
        <f>'1'!O13+'1'!O60+'1'!O62+'1'!O63+'1'!O64</f>
        <v>26.536454941917011</v>
      </c>
      <c r="H8" s="97">
        <f>'1'!P13+'1'!P60+'1'!P62+'1'!P63+'1'!P64</f>
        <v>43.76863712167453</v>
      </c>
      <c r="I8" s="33"/>
      <c r="J8" s="33"/>
      <c r="K8" s="33"/>
      <c r="L8" s="33"/>
      <c r="M8" s="33"/>
      <c r="N8" s="33"/>
    </row>
    <row r="9" spans="1:14" x14ac:dyDescent="0.25">
      <c r="A9" s="95">
        <v>5</v>
      </c>
      <c r="B9" s="95" t="s">
        <v>231</v>
      </c>
      <c r="C9" s="97">
        <f>'1'!K17+'1'!K28</f>
        <v>140.51496913529314</v>
      </c>
      <c r="D9" s="97">
        <f>'1'!L17+'1'!L28</f>
        <v>164.63439709245156</v>
      </c>
      <c r="E9" s="97">
        <f>'1'!M17+'1'!M28</f>
        <v>173.76784595505745</v>
      </c>
      <c r="F9" s="97">
        <f>'1'!N17+'1'!N28</f>
        <v>160.85005165769712</v>
      </c>
      <c r="G9" s="97">
        <f>'1'!O17+'1'!O28</f>
        <v>159.34941751467136</v>
      </c>
      <c r="H9" s="97">
        <f>'1'!P17+'1'!P28</f>
        <v>175.49079038461826</v>
      </c>
      <c r="I9" s="33"/>
      <c r="J9" s="33"/>
      <c r="K9" s="33"/>
      <c r="L9" s="33"/>
      <c r="M9" s="33"/>
      <c r="N9" s="33"/>
    </row>
    <row r="10" spans="1:14" x14ac:dyDescent="0.25">
      <c r="A10" s="95">
        <v>6</v>
      </c>
      <c r="B10" s="95" t="s">
        <v>232</v>
      </c>
      <c r="C10" s="99">
        <f>'1'!K65</f>
        <v>4.1829480866626199</v>
      </c>
      <c r="D10" s="99">
        <f>'1'!L65</f>
        <v>3.5754227607979008</v>
      </c>
      <c r="E10" s="99">
        <f>'1'!M65</f>
        <v>3.5969273433526885</v>
      </c>
      <c r="F10" s="99">
        <f>'1'!N65</f>
        <v>4.7290815084469919</v>
      </c>
      <c r="G10" s="99">
        <f>'1'!O65</f>
        <v>5.4189624398445035</v>
      </c>
      <c r="H10" s="99">
        <f>'1'!P65</f>
        <v>5.2639934615175186</v>
      </c>
      <c r="I10" s="33"/>
      <c r="J10" s="33"/>
      <c r="K10" s="33"/>
      <c r="L10" s="33"/>
      <c r="M10" s="33"/>
      <c r="N10" s="33"/>
    </row>
    <row r="11" spans="1:14" x14ac:dyDescent="0.25">
      <c r="A11" s="95">
        <v>7</v>
      </c>
      <c r="B11" s="95" t="s">
        <v>233</v>
      </c>
      <c r="C11" s="97">
        <f>'1'!K7+'1'!K9+'1'!K10</f>
        <v>34.628645205754864</v>
      </c>
      <c r="D11" s="97">
        <f>'1'!L7+'1'!L9+'1'!L10</f>
        <v>36.755677105636963</v>
      </c>
      <c r="E11" s="97">
        <f>'1'!M7+'1'!M9+'1'!M10</f>
        <v>42.393379717786715</v>
      </c>
      <c r="F11" s="97">
        <f>'1'!N7+'1'!N9+'1'!N10</f>
        <v>44.599738371425978</v>
      </c>
      <c r="G11" s="97">
        <f>'1'!O7+'1'!O9+'1'!O10</f>
        <v>45.215338524194493</v>
      </c>
      <c r="H11" s="97">
        <f>'1'!P7+'1'!P9+'1'!P10</f>
        <v>43.243695873448502</v>
      </c>
      <c r="I11" s="33"/>
      <c r="J11" s="33"/>
      <c r="K11" s="33"/>
      <c r="L11" s="33"/>
      <c r="M11" s="33"/>
      <c r="N11" s="33"/>
    </row>
    <row r="12" spans="1:14" x14ac:dyDescent="0.25">
      <c r="A12" s="95">
        <v>8</v>
      </c>
      <c r="B12" s="95" t="s">
        <v>234</v>
      </c>
      <c r="C12" s="97">
        <f>'1'!K20</f>
        <v>1.6432455336152164E-2</v>
      </c>
      <c r="D12" s="97">
        <f>'1'!L20</f>
        <v>2.0874654860937231E-2</v>
      </c>
      <c r="E12" s="97">
        <f>'1'!M20</f>
        <v>6.2345874137969395E-2</v>
      </c>
      <c r="F12" s="97">
        <f>'1'!N20</f>
        <v>5.0734281375612443E-2</v>
      </c>
      <c r="G12" s="97">
        <f>'1'!O20</f>
        <v>4.1174129314250865E-2</v>
      </c>
      <c r="H12" s="97">
        <f>'1'!P20</f>
        <v>1.9011390986537865E-2</v>
      </c>
      <c r="I12" s="33"/>
      <c r="J12" s="33"/>
      <c r="K12" s="33"/>
      <c r="L12" s="33"/>
      <c r="M12" s="33"/>
      <c r="N12" s="33"/>
    </row>
    <row r="13" spans="1:14" x14ac:dyDescent="0.25">
      <c r="A13" s="95">
        <v>9</v>
      </c>
      <c r="B13" s="95" t="s">
        <v>34</v>
      </c>
      <c r="C13" s="97">
        <f>'1'!K23</f>
        <v>14.198511796279865</v>
      </c>
      <c r="D13" s="97">
        <f>'1'!L23</f>
        <v>15.043589406146618</v>
      </c>
      <c r="E13" s="97">
        <f>'1'!M23</f>
        <v>14.284676812283438</v>
      </c>
      <c r="F13" s="97">
        <f>'1'!N23</f>
        <v>10.006704629173827</v>
      </c>
      <c r="G13" s="97">
        <f>'1'!O23</f>
        <v>9.8123173429696209</v>
      </c>
      <c r="H13" s="97">
        <f>'1'!P23</f>
        <v>11.194101679270593</v>
      </c>
      <c r="I13" s="33"/>
      <c r="J13" s="33"/>
      <c r="K13" s="33"/>
      <c r="L13" s="33"/>
      <c r="M13" s="33"/>
      <c r="N13" s="33"/>
    </row>
    <row r="14" spans="1:14" x14ac:dyDescent="0.25">
      <c r="A14" s="95">
        <v>10</v>
      </c>
      <c r="B14" s="95" t="s">
        <v>235</v>
      </c>
      <c r="C14" s="97">
        <f>'1'!K16</f>
        <v>4.4106995492598271</v>
      </c>
      <c r="D14" s="97">
        <f>'1'!L16</f>
        <v>6.9965817394415364</v>
      </c>
      <c r="E14" s="97">
        <f>'1'!M16</f>
        <v>8.5184161355044239</v>
      </c>
      <c r="F14" s="97">
        <f>'1'!N16</f>
        <v>2.4490692239008869</v>
      </c>
      <c r="G14" s="97">
        <f>'1'!O16</f>
        <v>6.2268134113721896</v>
      </c>
      <c r="H14" s="97">
        <f>'1'!P16</f>
        <v>1.6194301518701819</v>
      </c>
      <c r="I14" s="33"/>
      <c r="J14" s="33"/>
      <c r="K14" s="33"/>
      <c r="L14" s="33"/>
      <c r="M14" s="33"/>
      <c r="N14" s="33"/>
    </row>
    <row r="15" spans="1:14" x14ac:dyDescent="0.25">
      <c r="A15" s="95">
        <v>11</v>
      </c>
      <c r="B15" s="95" t="s">
        <v>236</v>
      </c>
      <c r="C15" s="97">
        <f>'1'!K15</f>
        <v>8.5274847754987242</v>
      </c>
      <c r="D15" s="97">
        <f>'1'!L15</f>
        <v>9.7545314456219234</v>
      </c>
      <c r="E15" s="97">
        <f>'1'!M15</f>
        <v>12.1107903291184</v>
      </c>
      <c r="F15" s="97">
        <f>'1'!N15</f>
        <v>8.2238506051016884</v>
      </c>
      <c r="G15" s="97">
        <f>'1'!O15</f>
        <v>7.6349996270355227</v>
      </c>
      <c r="H15" s="97">
        <f>'1'!P15</f>
        <v>9.3846501766828343</v>
      </c>
      <c r="I15" s="33"/>
      <c r="J15" s="33"/>
      <c r="K15" s="33"/>
      <c r="L15" s="33"/>
      <c r="M15" s="33"/>
      <c r="N15" s="33"/>
    </row>
    <row r="16" spans="1:14" x14ac:dyDescent="0.25">
      <c r="A16" s="95">
        <v>12</v>
      </c>
      <c r="B16" s="95" t="s">
        <v>38</v>
      </c>
      <c r="C16" s="97">
        <f>'1'!K18</f>
        <v>0.38403161295342031</v>
      </c>
      <c r="D16" s="97">
        <f>'1'!L18</f>
        <v>0.62509419832230506</v>
      </c>
      <c r="E16" s="97">
        <f>'1'!M18</f>
        <v>1.0399090113629783</v>
      </c>
      <c r="F16" s="97">
        <f>'1'!N18</f>
        <v>0.27718142619629227</v>
      </c>
      <c r="G16" s="97">
        <f>'1'!O18</f>
        <v>0</v>
      </c>
      <c r="H16" s="97">
        <f>'1'!P18</f>
        <v>1.0000464224888843</v>
      </c>
      <c r="I16" s="33"/>
      <c r="J16" s="33"/>
      <c r="K16" s="33"/>
      <c r="L16" s="33"/>
      <c r="M16" s="33"/>
      <c r="N16" s="33"/>
    </row>
    <row r="17" spans="1:14" x14ac:dyDescent="0.25">
      <c r="A17" s="95">
        <v>13</v>
      </c>
      <c r="B17" s="96" t="s">
        <v>237</v>
      </c>
      <c r="C17" s="97">
        <f>'1'!K21</f>
        <v>7.7022926826182947E-2</v>
      </c>
      <c r="D17" s="97">
        <f>'1'!L21</f>
        <v>0.2421705218782238</v>
      </c>
      <c r="E17" s="97">
        <f>'1'!M21</f>
        <v>0.36529611762653097</v>
      </c>
      <c r="F17" s="97">
        <f>'1'!N21</f>
        <v>0.1430943469621456</v>
      </c>
      <c r="G17" s="97">
        <f>'1'!O21</f>
        <v>7.6946910355149944E-2</v>
      </c>
      <c r="H17" s="97">
        <f>'1'!P21</f>
        <v>0.19028486590869945</v>
      </c>
      <c r="I17" s="33"/>
      <c r="J17" s="33"/>
      <c r="K17" s="33"/>
      <c r="L17" s="33"/>
      <c r="M17" s="33"/>
      <c r="N17" s="33"/>
    </row>
    <row r="18" spans="1:14" x14ac:dyDescent="0.25">
      <c r="A18" s="95">
        <v>14</v>
      </c>
      <c r="B18" s="96" t="s">
        <v>35</v>
      </c>
      <c r="C18" s="97">
        <f>'1'!K22</f>
        <v>4.5464014106213167E-3</v>
      </c>
      <c r="D18" s="97">
        <f>'1'!L22</f>
        <v>0.79281293953486076</v>
      </c>
      <c r="E18" s="97">
        <f>'1'!M22</f>
        <v>0.26915730418604439</v>
      </c>
      <c r="F18" s="97">
        <f>'1'!N22</f>
        <v>1.6871495307031214E-3</v>
      </c>
      <c r="G18" s="97">
        <f>'1'!O22</f>
        <v>0</v>
      </c>
      <c r="H18" s="97">
        <f>'1'!P22</f>
        <v>3.990739688394777E-3</v>
      </c>
      <c r="I18" s="33"/>
      <c r="J18" s="33"/>
      <c r="K18" s="33"/>
      <c r="L18" s="33"/>
      <c r="M18" s="33"/>
      <c r="N18" s="33"/>
    </row>
    <row r="19" spans="1:14" x14ac:dyDescent="0.25">
      <c r="A19" s="95">
        <v>15</v>
      </c>
      <c r="B19" s="96" t="s">
        <v>39</v>
      </c>
      <c r="C19" s="97">
        <f>'1'!K19</f>
        <v>4.1166942856914464</v>
      </c>
      <c r="D19" s="97">
        <f>'1'!L19</f>
        <v>3.5109371110790315</v>
      </c>
      <c r="E19" s="97">
        <f>'1'!M19</f>
        <v>6.3028956084125349</v>
      </c>
      <c r="F19" s="97">
        <f>'1'!N19</f>
        <v>1.2263255927989554</v>
      </c>
      <c r="G19" s="97">
        <f>'1'!O19</f>
        <v>0.77160002902071245</v>
      </c>
      <c r="H19" s="97">
        <f>'1'!P19</f>
        <v>16.594657848304781</v>
      </c>
      <c r="I19" s="33"/>
      <c r="J19" s="33"/>
      <c r="K19" s="33"/>
      <c r="L19" s="33"/>
      <c r="M19" s="33"/>
      <c r="N19" s="33"/>
    </row>
    <row r="20" spans="1:14" x14ac:dyDescent="0.25">
      <c r="A20" s="95">
        <v>16</v>
      </c>
      <c r="B20" s="96" t="s">
        <v>238</v>
      </c>
      <c r="C20" s="97">
        <f>'1'!K24</f>
        <v>1.6632013871465108</v>
      </c>
      <c r="D20" s="97">
        <f>'1'!L24</f>
        <v>0.60049272495682882</v>
      </c>
      <c r="E20" s="97">
        <f>'1'!M24</f>
        <v>2.9218017602354251</v>
      </c>
      <c r="F20" s="97">
        <f>'1'!N24</f>
        <v>1.7403341301412942</v>
      </c>
      <c r="G20" s="97">
        <f>'1'!O24</f>
        <v>1.7219099117190504</v>
      </c>
      <c r="H20" s="97">
        <f>'1'!P24</f>
        <v>2.9286176610056791</v>
      </c>
      <c r="I20" s="33"/>
      <c r="J20" s="33"/>
      <c r="K20" s="33"/>
      <c r="L20" s="33"/>
      <c r="M20" s="33"/>
      <c r="N20" s="33"/>
    </row>
    <row r="21" spans="1:14" x14ac:dyDescent="0.25">
      <c r="A21" s="197" t="s">
        <v>239</v>
      </c>
      <c r="B21" s="197"/>
      <c r="C21" s="100">
        <f t="shared" ref="C21:H21" si="0">SUM(C5:C20)</f>
        <v>440.7557212689785</v>
      </c>
      <c r="D21" s="100">
        <f t="shared" si="0"/>
        <v>464.58017215525371</v>
      </c>
      <c r="E21" s="100">
        <f t="shared" si="0"/>
        <v>506.80753530577812</v>
      </c>
      <c r="F21" s="100">
        <f t="shared" si="0"/>
        <v>498.10826159248586</v>
      </c>
      <c r="G21" s="100">
        <f t="shared" si="0"/>
        <v>506.99034647827744</v>
      </c>
      <c r="H21" s="100">
        <f t="shared" si="0"/>
        <v>553.94127177785811</v>
      </c>
    </row>
    <row r="22" spans="1:14" x14ac:dyDescent="0.25">
      <c r="B22" s="34"/>
      <c r="C22" s="35"/>
      <c r="F22" s="35"/>
    </row>
  </sheetData>
  <mergeCells count="4">
    <mergeCell ref="A3:B3"/>
    <mergeCell ref="A21:B21"/>
    <mergeCell ref="C4:H4"/>
    <mergeCell ref="C2:H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2"/>
  <sheetViews>
    <sheetView zoomScale="53" zoomScaleNormal="53" workbookViewId="0">
      <selection activeCell="A3" sqref="A3:H26"/>
    </sheetView>
  </sheetViews>
  <sheetFormatPr defaultColWidth="10.85546875" defaultRowHeight="15" x14ac:dyDescent="0.25"/>
  <cols>
    <col min="1" max="1" width="6" style="7" bestFit="1" customWidth="1"/>
    <col min="2" max="2" width="56.42578125" style="7" customWidth="1"/>
    <col min="3" max="3" width="12.28515625" style="7" customWidth="1"/>
    <col min="4" max="4" width="10.85546875" style="7" bestFit="1" customWidth="1"/>
    <col min="5" max="5" width="11.85546875" style="7" customWidth="1"/>
    <col min="6" max="6" width="11.140625" style="7" customWidth="1"/>
    <col min="7" max="7" width="10.85546875" style="7" bestFit="1" customWidth="1"/>
    <col min="8" max="8" width="11.85546875" style="7" customWidth="1"/>
    <col min="9" max="16384" width="10.85546875" style="7"/>
  </cols>
  <sheetData>
    <row r="1" spans="1:8" x14ac:dyDescent="0.25">
      <c r="A1" s="62" t="s">
        <v>314</v>
      </c>
    </row>
    <row r="3" spans="1:8" ht="45" x14ac:dyDescent="0.25">
      <c r="A3" s="198" t="s">
        <v>225</v>
      </c>
      <c r="B3" s="198"/>
      <c r="C3" s="101" t="s">
        <v>308</v>
      </c>
      <c r="D3" s="101" t="s">
        <v>309</v>
      </c>
      <c r="E3" s="199" t="s">
        <v>258</v>
      </c>
      <c r="F3" s="101" t="s">
        <v>310</v>
      </c>
      <c r="G3" s="101" t="s">
        <v>311</v>
      </c>
      <c r="H3" s="200" t="s">
        <v>258</v>
      </c>
    </row>
    <row r="4" spans="1:8" x14ac:dyDescent="0.25">
      <c r="A4" s="102" t="s">
        <v>226</v>
      </c>
      <c r="B4" s="102" t="s">
        <v>227</v>
      </c>
      <c r="C4" s="103" t="s">
        <v>259</v>
      </c>
      <c r="D4" s="103" t="s">
        <v>259</v>
      </c>
      <c r="E4" s="199"/>
      <c r="F4" s="103" t="s">
        <v>259</v>
      </c>
      <c r="G4" s="103" t="s">
        <v>259</v>
      </c>
      <c r="H4" s="200"/>
    </row>
    <row r="5" spans="1:8" x14ac:dyDescent="0.25">
      <c r="A5" s="104">
        <v>1</v>
      </c>
      <c r="B5" s="105" t="s">
        <v>228</v>
      </c>
      <c r="C5" s="106">
        <f>117304.44/1000</f>
        <v>117.30444</v>
      </c>
      <c r="D5" s="106">
        <f>'2'!C5</f>
        <v>173.18043248993874</v>
      </c>
      <c r="E5" s="107">
        <f>(C5-D5)/C5</f>
        <v>-0.47633314212095246</v>
      </c>
      <c r="F5" s="106">
        <f>96002.05/1000</f>
        <v>96.002049999999997</v>
      </c>
      <c r="G5" s="106">
        <f>'2'!F5</f>
        <v>184.61199943096662</v>
      </c>
      <c r="H5" s="108">
        <f>IFERROR((F5-G5)/F5,"")</f>
        <v>-0.92300059666399437</v>
      </c>
    </row>
    <row r="6" spans="1:8" x14ac:dyDescent="0.25">
      <c r="A6" s="104">
        <v>2</v>
      </c>
      <c r="B6" s="105" t="s">
        <v>229</v>
      </c>
      <c r="C6" s="106">
        <f>33331.7/1000</f>
        <v>33.331699999999998</v>
      </c>
      <c r="D6" s="106">
        <f>'2'!C6</f>
        <v>50.198428652647081</v>
      </c>
      <c r="E6" s="107">
        <f t="shared" ref="E6:E17" si="0">(C6-D6)/C6</f>
        <v>-0.50602665488550191</v>
      </c>
      <c r="F6" s="106">
        <f>36260.31/1000</f>
        <v>36.260309999999997</v>
      </c>
      <c r="G6" s="106">
        <f>'2'!F6</f>
        <v>58.190948376634907</v>
      </c>
      <c r="H6" s="108">
        <f t="shared" ref="H6:H24" si="1">IFERROR((F6-G6)/F6,"")</f>
        <v>-0.60481111100911467</v>
      </c>
    </row>
    <row r="7" spans="1:8" x14ac:dyDescent="0.25">
      <c r="A7" s="104">
        <v>3</v>
      </c>
      <c r="B7" s="105" t="s">
        <v>230</v>
      </c>
      <c r="C7" s="106">
        <f>2462.7/1000</f>
        <v>2.4626999999999999</v>
      </c>
      <c r="D7" s="106">
        <f>'2'!C7</f>
        <v>1.6103832931852757</v>
      </c>
      <c r="E7" s="109">
        <f t="shared" si="0"/>
        <v>0.34609035075921718</v>
      </c>
      <c r="F7" s="106">
        <f>3722.93/1000</f>
        <v>3.7229299999999999</v>
      </c>
      <c r="G7" s="106">
        <f>'2'!F7</f>
        <v>3.0357159342958715</v>
      </c>
      <c r="H7" s="110">
        <f t="shared" si="1"/>
        <v>0.18458957479837879</v>
      </c>
    </row>
    <row r="8" spans="1:8" x14ac:dyDescent="0.25">
      <c r="A8" s="104">
        <v>4</v>
      </c>
      <c r="B8" s="105" t="s">
        <v>28</v>
      </c>
      <c r="C8" s="106">
        <f>2958.8/1000</f>
        <v>2.9588000000000001</v>
      </c>
      <c r="D8" s="106">
        <f>'2'!C8</f>
        <v>3.0412892150939248</v>
      </c>
      <c r="E8" s="107">
        <f t="shared" si="0"/>
        <v>-2.7879280483278594E-2</v>
      </c>
      <c r="F8" s="106">
        <f>5006.37/1000</f>
        <v>5.0063699999999995</v>
      </c>
      <c r="G8" s="106">
        <f>'2'!F8</f>
        <v>17.971744927836877</v>
      </c>
      <c r="H8" s="110">
        <f t="shared" si="1"/>
        <v>-2.589775611438403</v>
      </c>
    </row>
    <row r="9" spans="1:8" x14ac:dyDescent="0.25">
      <c r="A9" s="104">
        <v>5</v>
      </c>
      <c r="B9" s="105" t="s">
        <v>231</v>
      </c>
      <c r="C9" s="106">
        <f>130929.03/1000</f>
        <v>130.92903000000001</v>
      </c>
      <c r="D9" s="106">
        <f>'2'!C9</f>
        <v>140.51496913529314</v>
      </c>
      <c r="E9" s="111">
        <f t="shared" si="0"/>
        <v>-7.3214772425130858E-2</v>
      </c>
      <c r="F9" s="106">
        <f>145280.96/1000</f>
        <v>145.28095999999999</v>
      </c>
      <c r="G9" s="106">
        <f>'2'!F9</f>
        <v>160.85005165769712</v>
      </c>
      <c r="H9" s="110">
        <f t="shared" si="1"/>
        <v>-0.10716539633064877</v>
      </c>
    </row>
    <row r="10" spans="1:8" x14ac:dyDescent="0.25">
      <c r="A10" s="104">
        <v>6</v>
      </c>
      <c r="B10" s="105" t="s">
        <v>232</v>
      </c>
      <c r="C10" s="106">
        <f>849.5/1000</f>
        <v>0.84950000000000003</v>
      </c>
      <c r="D10" s="106">
        <f>'2'!C10</f>
        <v>4.1829480866626199</v>
      </c>
      <c r="E10" s="111">
        <f t="shared" si="0"/>
        <v>-3.9240118736464034</v>
      </c>
      <c r="F10" s="106">
        <f>1603.27/1000</f>
        <v>1.60327</v>
      </c>
      <c r="G10" s="106">
        <f>'2'!F10</f>
        <v>4.7290815084469919</v>
      </c>
      <c r="H10" s="110">
        <f t="shared" si="1"/>
        <v>-1.9496476004958565</v>
      </c>
    </row>
    <row r="11" spans="1:8" x14ac:dyDescent="0.25">
      <c r="A11" s="104">
        <v>7</v>
      </c>
      <c r="B11" s="105" t="s">
        <v>289</v>
      </c>
      <c r="C11" s="201">
        <f>33845.32/1000</f>
        <v>33.845320000000001</v>
      </c>
      <c r="D11" s="106">
        <f>'1'!K7</f>
        <v>23.664680148726184</v>
      </c>
      <c r="E11" s="109">
        <f>(C11-(D11+D12+D13))/C11</f>
        <v>-2.3144269451577455E-2</v>
      </c>
      <c r="F11" s="106">
        <f>42260.97/1000</f>
        <v>42.26097</v>
      </c>
      <c r="G11" s="106">
        <f>'1'!N7</f>
        <v>31.978101707190362</v>
      </c>
      <c r="H11" s="110">
        <f t="shared" si="1"/>
        <v>0.24331832167623313</v>
      </c>
    </row>
    <row r="12" spans="1:8" x14ac:dyDescent="0.25">
      <c r="A12" s="104">
        <v>8</v>
      </c>
      <c r="B12" s="105" t="s">
        <v>287</v>
      </c>
      <c r="C12" s="201"/>
      <c r="D12" s="106">
        <f>'1'!K9</f>
        <v>0.74464823588437323</v>
      </c>
      <c r="E12" s="109"/>
      <c r="F12" s="106">
        <f>18217.44/1000</f>
        <v>18.21744</v>
      </c>
      <c r="G12" s="106">
        <f>'1'!N9</f>
        <v>0.8142718045727434</v>
      </c>
      <c r="H12" s="110">
        <f t="shared" si="1"/>
        <v>0.95530262185176706</v>
      </c>
    </row>
    <row r="13" spans="1:8" x14ac:dyDescent="0.25">
      <c r="A13" s="104">
        <v>9</v>
      </c>
      <c r="B13" s="105" t="s">
        <v>288</v>
      </c>
      <c r="C13" s="201"/>
      <c r="D13" s="106">
        <f>'1'!K10</f>
        <v>10.219316821144306</v>
      </c>
      <c r="E13" s="109"/>
      <c r="F13" s="112" t="s">
        <v>296</v>
      </c>
      <c r="G13" s="106">
        <f>'1'!N10</f>
        <v>11.807364859662878</v>
      </c>
      <c r="H13" s="110"/>
    </row>
    <row r="14" spans="1:8" x14ac:dyDescent="0.25">
      <c r="A14" s="104">
        <v>10</v>
      </c>
      <c r="B14" s="113" t="s">
        <v>260</v>
      </c>
      <c r="C14" s="106">
        <f>1464.74/1000</f>
        <v>1.4647399999999999</v>
      </c>
      <c r="D14" s="106">
        <f>'2'!C12</f>
        <v>1.6432455336152164E-2</v>
      </c>
      <c r="E14" s="114" t="s">
        <v>261</v>
      </c>
      <c r="F14" s="106">
        <f>4315.58/1000</f>
        <v>4.3155799999999997</v>
      </c>
      <c r="G14" s="106">
        <f>'2'!F12</f>
        <v>5.0734281375612443E-2</v>
      </c>
      <c r="H14" s="115" t="s">
        <v>261</v>
      </c>
    </row>
    <row r="15" spans="1:8" x14ac:dyDescent="0.25">
      <c r="A15" s="104">
        <v>11</v>
      </c>
      <c r="B15" s="105" t="s">
        <v>34</v>
      </c>
      <c r="C15" s="106">
        <f>1867.82/1000</f>
        <v>1.86782</v>
      </c>
      <c r="D15" s="106">
        <f>'2'!C13</f>
        <v>14.198511796279865</v>
      </c>
      <c r="E15" s="107">
        <f t="shared" si="0"/>
        <v>-6.6016488720968107</v>
      </c>
      <c r="F15" s="106">
        <f>2524.65/1000</f>
        <v>2.5246500000000003</v>
      </c>
      <c r="G15" s="106">
        <f>'2'!F13</f>
        <v>10.006704629173827</v>
      </c>
      <c r="H15" s="110">
        <f t="shared" si="1"/>
        <v>-2.9636007482913773</v>
      </c>
    </row>
    <row r="16" spans="1:8" x14ac:dyDescent="0.25">
      <c r="A16" s="104">
        <v>12</v>
      </c>
      <c r="B16" s="105" t="s">
        <v>235</v>
      </c>
      <c r="C16" s="106">
        <f>27719.09/1000</f>
        <v>27.719090000000001</v>
      </c>
      <c r="D16" s="106">
        <f>'2'!C14</f>
        <v>4.4106995492598271</v>
      </c>
      <c r="E16" s="109">
        <f t="shared" si="0"/>
        <v>0.84087863096299964</v>
      </c>
      <c r="F16" s="116" t="s">
        <v>296</v>
      </c>
      <c r="G16" s="106">
        <f>'2'!F14</f>
        <v>2.4490692239008869</v>
      </c>
      <c r="H16" s="110" t="str">
        <f t="shared" si="1"/>
        <v/>
      </c>
    </row>
    <row r="17" spans="1:8" x14ac:dyDescent="0.25">
      <c r="A17" s="104">
        <v>13</v>
      </c>
      <c r="B17" s="105" t="s">
        <v>236</v>
      </c>
      <c r="C17" s="106">
        <f>5247.59/1000</f>
        <v>5.2475899999999998</v>
      </c>
      <c r="D17" s="106">
        <f>'2'!C15</f>
        <v>8.5274847754987242</v>
      </c>
      <c r="E17" s="107">
        <f t="shared" si="0"/>
        <v>-0.62502877997303996</v>
      </c>
      <c r="F17" s="106">
        <f>6755.88/1000</f>
        <v>6.7558800000000003</v>
      </c>
      <c r="G17" s="106">
        <f>'2'!F15</f>
        <v>8.2238506051016884</v>
      </c>
      <c r="H17" s="110">
        <f t="shared" si="1"/>
        <v>-0.21728784482579441</v>
      </c>
    </row>
    <row r="18" spans="1:8" x14ac:dyDescent="0.25">
      <c r="A18" s="104">
        <v>14</v>
      </c>
      <c r="B18" s="105" t="s">
        <v>38</v>
      </c>
      <c r="C18" s="112" t="s">
        <v>296</v>
      </c>
      <c r="D18" s="106">
        <f>'2'!C16</f>
        <v>0.38403161295342031</v>
      </c>
      <c r="E18" s="111"/>
      <c r="F18" s="112" t="s">
        <v>296</v>
      </c>
      <c r="G18" s="106">
        <f>'2'!F16</f>
        <v>0.27718142619629227</v>
      </c>
      <c r="H18" s="110" t="str">
        <f t="shared" si="1"/>
        <v/>
      </c>
    </row>
    <row r="19" spans="1:8" x14ac:dyDescent="0.25">
      <c r="A19" s="104">
        <v>15</v>
      </c>
      <c r="B19" s="105" t="s">
        <v>237</v>
      </c>
      <c r="C19" s="112" t="s">
        <v>296</v>
      </c>
      <c r="D19" s="106">
        <f>'2'!C17</f>
        <v>7.7022926826182947E-2</v>
      </c>
      <c r="E19" s="111"/>
      <c r="F19" s="112" t="s">
        <v>296</v>
      </c>
      <c r="G19" s="106">
        <f>'2'!F17</f>
        <v>0.1430943469621456</v>
      </c>
      <c r="H19" s="110" t="str">
        <f t="shared" si="1"/>
        <v/>
      </c>
    </row>
    <row r="20" spans="1:8" x14ac:dyDescent="0.25">
      <c r="A20" s="104">
        <v>16</v>
      </c>
      <c r="B20" s="113" t="s">
        <v>262</v>
      </c>
      <c r="C20" s="112" t="s">
        <v>296</v>
      </c>
      <c r="D20" s="106">
        <f>'2'!C18</f>
        <v>4.5464014106213167E-3</v>
      </c>
      <c r="E20" s="111" t="s">
        <v>261</v>
      </c>
      <c r="F20" s="112" t="s">
        <v>296</v>
      </c>
      <c r="G20" s="106">
        <f>'2'!F18</f>
        <v>1.6871495307031214E-3</v>
      </c>
      <c r="H20" s="115" t="s">
        <v>261</v>
      </c>
    </row>
    <row r="21" spans="1:8" x14ac:dyDescent="0.25">
      <c r="A21" s="104">
        <v>17</v>
      </c>
      <c r="B21" s="105" t="s">
        <v>39</v>
      </c>
      <c r="C21" s="112" t="s">
        <v>296</v>
      </c>
      <c r="D21" s="106">
        <f>'2'!C19</f>
        <v>4.1166942856914464</v>
      </c>
      <c r="E21" s="111"/>
      <c r="F21" s="112" t="s">
        <v>296</v>
      </c>
      <c r="G21" s="106">
        <f>'2'!F19</f>
        <v>1.2263255927989554</v>
      </c>
      <c r="H21" s="110" t="str">
        <f t="shared" si="1"/>
        <v/>
      </c>
    </row>
    <row r="22" spans="1:8" x14ac:dyDescent="0.25">
      <c r="A22" s="104">
        <v>18</v>
      </c>
      <c r="B22" s="113" t="s">
        <v>278</v>
      </c>
      <c r="C22" s="112" t="s">
        <v>296</v>
      </c>
      <c r="D22" s="106">
        <f>'2'!C20</f>
        <v>1.6632013871465108</v>
      </c>
      <c r="E22" s="111"/>
      <c r="F22" s="112" t="s">
        <v>296</v>
      </c>
      <c r="G22" s="106">
        <f>'2'!F20</f>
        <v>1.7403341301412942</v>
      </c>
      <c r="H22" s="110" t="str">
        <f t="shared" si="1"/>
        <v/>
      </c>
    </row>
    <row r="23" spans="1:8" x14ac:dyDescent="0.25">
      <c r="A23" s="104">
        <v>19</v>
      </c>
      <c r="B23" s="117" t="s">
        <v>263</v>
      </c>
      <c r="C23" s="112">
        <f>88220.88/1000</f>
        <v>88.220880000000008</v>
      </c>
      <c r="D23" s="106" t="s">
        <v>297</v>
      </c>
      <c r="E23" s="111"/>
      <c r="F23" s="112">
        <f>134740.8/1000</f>
        <v>134.74079999999998</v>
      </c>
      <c r="G23" s="106" t="s">
        <v>297</v>
      </c>
      <c r="H23" s="110" t="str">
        <f t="shared" si="1"/>
        <v/>
      </c>
    </row>
    <row r="24" spans="1:8" x14ac:dyDescent="0.25">
      <c r="A24" s="118"/>
      <c r="B24" s="119" t="s">
        <v>264</v>
      </c>
      <c r="C24" s="120">
        <f>SUM(C5:C23)</f>
        <v>446.20161000000002</v>
      </c>
      <c r="D24" s="120">
        <f>SUM(D5:D23)</f>
        <v>440.7557212689785</v>
      </c>
      <c r="E24" s="121">
        <f>(C24-D24)/C24</f>
        <v>1.2204995699189682E-2</v>
      </c>
      <c r="F24" s="120">
        <f>SUM(F5:F23)</f>
        <v>496.69120999999996</v>
      </c>
      <c r="G24" s="120">
        <f>SUM(G5:G22)</f>
        <v>498.10826159248586</v>
      </c>
      <c r="H24" s="122">
        <f t="shared" si="1"/>
        <v>-2.8529830284008948E-3</v>
      </c>
    </row>
    <row r="25" spans="1:8" x14ac:dyDescent="0.25">
      <c r="A25" s="123"/>
      <c r="B25" s="124" t="s">
        <v>265</v>
      </c>
      <c r="C25" s="125"/>
      <c r="D25" s="126">
        <f>1-(D24/C24)</f>
        <v>1.2204995699189647E-2</v>
      </c>
      <c r="E25" s="127"/>
      <c r="F25" s="127"/>
      <c r="G25" s="128">
        <f>1-(G24/F24)</f>
        <v>-2.8529830284009794E-3</v>
      </c>
      <c r="H25" s="129"/>
    </row>
    <row r="26" spans="1:8" x14ac:dyDescent="0.25">
      <c r="A26" s="130"/>
      <c r="B26" s="130"/>
      <c r="C26" s="130"/>
      <c r="D26" s="131"/>
      <c r="E26" s="132"/>
      <c r="F26" s="130"/>
      <c r="G26" s="130"/>
      <c r="H26" s="2"/>
    </row>
    <row r="27" spans="1:8" x14ac:dyDescent="0.25">
      <c r="A27" s="19"/>
      <c r="B27" s="19"/>
      <c r="C27" s="19"/>
      <c r="D27" s="19"/>
      <c r="E27" s="19"/>
      <c r="F27" s="19"/>
      <c r="G27" s="19"/>
    </row>
    <row r="28" spans="1:8" ht="30" x14ac:dyDescent="0.25">
      <c r="A28" s="19"/>
      <c r="B28" s="23" t="s">
        <v>266</v>
      </c>
      <c r="C28" s="20">
        <f>C5+C7+C11</f>
        <v>153.61246</v>
      </c>
      <c r="D28" s="20">
        <f>D5+D7+D12</f>
        <v>175.53546401900837</v>
      </c>
      <c r="E28" s="21">
        <f t="shared" ref="E28" si="2">(C28-D28)/C28</f>
        <v>-0.14271631363112325</v>
      </c>
      <c r="F28" s="20">
        <f>F5+F7+F11</f>
        <v>141.98595</v>
      </c>
      <c r="G28" s="20">
        <f>G5+G7+G12</f>
        <v>188.46198716983523</v>
      </c>
      <c r="H28" s="21">
        <f t="shared" ref="H28" si="3">(F28-G28)/F28</f>
        <v>-0.32732842348017688</v>
      </c>
    </row>
    <row r="29" spans="1:8" x14ac:dyDescent="0.25">
      <c r="A29" s="19"/>
      <c r="B29" s="19"/>
      <c r="C29" s="19"/>
      <c r="D29" s="19"/>
      <c r="E29" s="19"/>
      <c r="F29" s="19"/>
      <c r="G29" s="19"/>
    </row>
    <row r="30" spans="1:8" x14ac:dyDescent="0.25">
      <c r="A30" s="22" t="s">
        <v>261</v>
      </c>
      <c r="B30" s="22" t="s">
        <v>267</v>
      </c>
      <c r="C30" s="19"/>
      <c r="D30" s="19"/>
      <c r="E30" s="19"/>
      <c r="F30" s="19"/>
      <c r="G30" s="19"/>
    </row>
    <row r="31" spans="1:8" x14ac:dyDescent="0.25">
      <c r="A31" s="22" t="s">
        <v>268</v>
      </c>
      <c r="B31" s="22" t="s">
        <v>269</v>
      </c>
      <c r="C31" s="19"/>
      <c r="D31" s="19"/>
      <c r="E31" s="19"/>
      <c r="F31" s="19"/>
      <c r="G31" s="19"/>
    </row>
    <row r="32" spans="1:8" x14ac:dyDescent="0.25">
      <c r="A32" s="19" t="s">
        <v>270</v>
      </c>
      <c r="B32" s="22" t="s">
        <v>279</v>
      </c>
      <c r="C32" s="19"/>
      <c r="D32" s="19"/>
      <c r="E32" s="19"/>
      <c r="F32" s="19"/>
      <c r="G32" s="19"/>
    </row>
    <row r="33" spans="1:7" x14ac:dyDescent="0.25">
      <c r="A33" s="19"/>
      <c r="B33" s="30" t="s">
        <v>271</v>
      </c>
      <c r="C33" s="19"/>
      <c r="D33" s="19"/>
      <c r="E33" s="19"/>
      <c r="F33" s="19"/>
      <c r="G33" s="19"/>
    </row>
    <row r="34" spans="1:7" x14ac:dyDescent="0.25">
      <c r="B34" s="31" t="s">
        <v>272</v>
      </c>
    </row>
    <row r="35" spans="1:7" x14ac:dyDescent="0.25">
      <c r="B35" s="31" t="s">
        <v>273</v>
      </c>
    </row>
    <row r="36" spans="1:7" x14ac:dyDescent="0.25">
      <c r="B36" s="31" t="s">
        <v>274</v>
      </c>
    </row>
    <row r="37" spans="1:7" x14ac:dyDescent="0.25">
      <c r="B37" s="31" t="s">
        <v>275</v>
      </c>
    </row>
    <row r="38" spans="1:7" x14ac:dyDescent="0.25">
      <c r="B38" s="31" t="s">
        <v>276</v>
      </c>
    </row>
    <row r="39" spans="1:7" x14ac:dyDescent="0.25">
      <c r="B39" s="31" t="s">
        <v>277</v>
      </c>
    </row>
    <row r="41" spans="1:7" x14ac:dyDescent="0.25">
      <c r="A41" s="65" t="s">
        <v>296</v>
      </c>
      <c r="B41" s="65" t="s">
        <v>298</v>
      </c>
    </row>
    <row r="42" spans="1:7" x14ac:dyDescent="0.25">
      <c r="A42" s="65" t="s">
        <v>297</v>
      </c>
      <c r="B42" s="65" t="s">
        <v>299</v>
      </c>
    </row>
  </sheetData>
  <mergeCells count="4">
    <mergeCell ref="A3:B3"/>
    <mergeCell ref="E3:E4"/>
    <mergeCell ref="H3:H4"/>
    <mergeCell ref="C11:C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8"/>
  <sheetViews>
    <sheetView zoomScale="85" zoomScaleNormal="85" workbookViewId="0">
      <selection activeCell="S1" sqref="S1"/>
    </sheetView>
  </sheetViews>
  <sheetFormatPr defaultColWidth="11.42578125" defaultRowHeight="15" x14ac:dyDescent="0.25"/>
  <cols>
    <col min="1" max="1" width="11.42578125" style="7"/>
    <col min="2" max="2" width="17.42578125" style="7" customWidth="1"/>
    <col min="3" max="3" width="9.85546875" style="7" customWidth="1"/>
    <col min="4" max="5" width="11.42578125" style="7"/>
    <col min="6" max="6" width="18.85546875" style="7" customWidth="1"/>
    <col min="7" max="16384" width="11.42578125" style="7"/>
  </cols>
  <sheetData>
    <row r="1" spans="1:8" x14ac:dyDescent="0.25">
      <c r="A1" s="64" t="s">
        <v>315</v>
      </c>
    </row>
    <row r="2" spans="1:8" x14ac:dyDescent="0.25">
      <c r="A2" s="51"/>
    </row>
    <row r="3" spans="1:8" ht="60" x14ac:dyDescent="0.25">
      <c r="A3" s="9" t="s">
        <v>200</v>
      </c>
      <c r="B3" s="42" t="s">
        <v>321</v>
      </c>
      <c r="C3" s="66" t="s">
        <v>303</v>
      </c>
      <c r="D3" s="10" t="s">
        <v>304</v>
      </c>
      <c r="E3" s="10" t="s">
        <v>305</v>
      </c>
      <c r="F3" s="10" t="s">
        <v>322</v>
      </c>
    </row>
    <row r="4" spans="1:8" x14ac:dyDescent="0.25">
      <c r="A4" s="32">
        <v>2000</v>
      </c>
      <c r="B4" s="37"/>
      <c r="C4" s="38">
        <f>336414.03/1000</f>
        <v>336.41403000000003</v>
      </c>
      <c r="D4" s="36"/>
      <c r="E4" s="202"/>
      <c r="F4" s="39">
        <f>PV(B13,7,,-B5)</f>
        <v>337.58869815649842</v>
      </c>
      <c r="H4" s="33"/>
    </row>
    <row r="5" spans="1:8" x14ac:dyDescent="0.25">
      <c r="A5" s="40">
        <v>2007</v>
      </c>
      <c r="B5" s="39">
        <f>'1'!K103</f>
        <v>440.75572126897845</v>
      </c>
      <c r="C5" s="202"/>
      <c r="D5" s="11">
        <f>446201.61/1000</f>
        <v>446.20160999999996</v>
      </c>
      <c r="E5" s="202"/>
      <c r="F5" s="202"/>
    </row>
    <row r="6" spans="1:8" x14ac:dyDescent="0.25">
      <c r="A6" s="40">
        <v>2008</v>
      </c>
      <c r="B6" s="39">
        <f>'1'!L103</f>
        <v>464.58017215525376</v>
      </c>
      <c r="C6" s="202"/>
      <c r="D6" s="202"/>
      <c r="E6" s="202"/>
      <c r="F6" s="202"/>
    </row>
    <row r="7" spans="1:8" x14ac:dyDescent="0.25">
      <c r="A7" s="40">
        <v>2009</v>
      </c>
      <c r="B7" s="39">
        <f>'1'!M103</f>
        <v>506.80753530577812</v>
      </c>
      <c r="C7" s="202"/>
      <c r="D7" s="202"/>
      <c r="E7" s="202"/>
      <c r="F7" s="202"/>
    </row>
    <row r="8" spans="1:8" x14ac:dyDescent="0.25">
      <c r="A8" s="40">
        <v>2010</v>
      </c>
      <c r="B8" s="39">
        <f>'1'!N103</f>
        <v>498.10826159248586</v>
      </c>
      <c r="C8" s="202"/>
      <c r="D8" s="202"/>
      <c r="E8" s="11">
        <f>496698.37/1000</f>
        <v>496.69837000000001</v>
      </c>
      <c r="F8" s="202"/>
    </row>
    <row r="9" spans="1:8" x14ac:dyDescent="0.25">
      <c r="A9" s="40">
        <v>2011</v>
      </c>
      <c r="B9" s="39">
        <f>'1'!O103</f>
        <v>506.99034647827744</v>
      </c>
      <c r="C9" s="202"/>
      <c r="D9" s="202"/>
      <c r="E9" s="202"/>
      <c r="F9" s="202"/>
    </row>
    <row r="10" spans="1:8" x14ac:dyDescent="0.25">
      <c r="A10" s="40">
        <v>2012</v>
      </c>
      <c r="B10" s="39">
        <f>'1'!P103</f>
        <v>553.94127177785811</v>
      </c>
      <c r="C10" s="202"/>
      <c r="D10" s="202"/>
      <c r="E10" s="202"/>
      <c r="F10" s="202"/>
    </row>
    <row r="13" spans="1:8" x14ac:dyDescent="0.25">
      <c r="A13" s="29" t="s">
        <v>223</v>
      </c>
      <c r="B13" s="41">
        <f>((B10/B5)^(1/6))-1</f>
        <v>3.882954851778897E-2</v>
      </c>
    </row>
    <row r="17" spans="2:2" x14ac:dyDescent="0.25">
      <c r="B17" s="69"/>
    </row>
    <row r="18" spans="2:2" x14ac:dyDescent="0.25">
      <c r="B18" s="69"/>
    </row>
  </sheetData>
  <mergeCells count="5">
    <mergeCell ref="E9:E10"/>
    <mergeCell ref="E4:E7"/>
    <mergeCell ref="D6:D10"/>
    <mergeCell ref="C5:C10"/>
    <mergeCell ref="F5:F10"/>
  </mergeCells>
  <pageMargins left="0.7" right="0.7" top="0.75" bottom="0.75" header="0.3" footer="0.3"/>
  <pageSetup paperSize="9" orientation="portrait" horizontalDpi="0" verticalDpi="0"/>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1"/>
  <sheetViews>
    <sheetView zoomScale="63" zoomScaleNormal="63" workbookViewId="0">
      <selection activeCell="A2" sqref="A2:H20"/>
    </sheetView>
  </sheetViews>
  <sheetFormatPr defaultColWidth="8.85546875" defaultRowHeight="15" x14ac:dyDescent="0.25"/>
  <cols>
    <col min="1" max="1" width="25.5703125" style="7" customWidth="1"/>
    <col min="2" max="2" width="20" style="7" customWidth="1"/>
    <col min="3" max="3" width="22.5703125" style="7" customWidth="1"/>
    <col min="4" max="5" width="21.5703125" style="7" customWidth="1"/>
    <col min="6" max="6" width="25.5703125" style="7" customWidth="1"/>
    <col min="7" max="7" width="20" style="7" customWidth="1"/>
    <col min="8" max="8" width="22.42578125" style="7" customWidth="1"/>
    <col min="9" max="10" width="21.5703125" style="7" customWidth="1"/>
    <col min="11" max="11" width="25.5703125" style="7" customWidth="1"/>
    <col min="12" max="12" width="20" style="7" customWidth="1"/>
    <col min="13" max="13" width="22.42578125" style="7" customWidth="1"/>
    <col min="14" max="15" width="21.5703125" style="7" customWidth="1"/>
    <col min="16" max="16" width="25.5703125" style="7" customWidth="1"/>
    <col min="17" max="17" width="20" style="7" customWidth="1"/>
    <col min="18" max="18" width="22.42578125" style="7" customWidth="1"/>
    <col min="19" max="20" width="21.5703125" style="7" customWidth="1"/>
    <col min="21" max="21" width="25.5703125" style="7" customWidth="1"/>
    <col min="22" max="22" width="20" style="7" customWidth="1"/>
    <col min="23" max="23" width="22.42578125" style="7" customWidth="1"/>
    <col min="24" max="25" width="21.5703125" style="7" customWidth="1"/>
    <col min="26" max="26" width="22.85546875" style="7" customWidth="1"/>
    <col min="27" max="27" width="23.140625" style="7" customWidth="1"/>
    <col min="28" max="28" width="23.42578125" style="7" customWidth="1"/>
    <col min="29" max="29" width="22" style="7" customWidth="1"/>
    <col min="30" max="30" width="25" style="7" customWidth="1"/>
    <col min="31" max="31" width="24.140625" style="7" customWidth="1"/>
    <col min="32" max="32" width="22.42578125" style="7" customWidth="1"/>
    <col min="33" max="33" width="22" style="7" customWidth="1"/>
    <col min="34" max="34" width="23.42578125" style="7" customWidth="1"/>
    <col min="35" max="35" width="22.85546875" style="7" customWidth="1"/>
    <col min="36" max="16384" width="8.85546875" style="7"/>
  </cols>
  <sheetData>
    <row r="1" spans="1:8" x14ac:dyDescent="0.25">
      <c r="A1" s="63" t="s">
        <v>316</v>
      </c>
    </row>
    <row r="2" spans="1:8" ht="15" customHeight="1" x14ac:dyDescent="0.25">
      <c r="A2" s="2"/>
      <c r="B2" s="133" t="s">
        <v>197</v>
      </c>
      <c r="C2" s="133" t="s">
        <v>196</v>
      </c>
      <c r="D2" s="133" t="s">
        <v>207</v>
      </c>
      <c r="E2" s="133" t="s">
        <v>205</v>
      </c>
      <c r="F2" s="133" t="s">
        <v>206</v>
      </c>
      <c r="G2" s="133" t="s">
        <v>208</v>
      </c>
      <c r="H2" s="133" t="s">
        <v>195</v>
      </c>
    </row>
    <row r="3" spans="1:8" x14ac:dyDescent="0.25">
      <c r="A3" s="75" t="s">
        <v>191</v>
      </c>
      <c r="B3" s="203" t="s">
        <v>323</v>
      </c>
      <c r="C3" s="204"/>
      <c r="D3" s="204"/>
      <c r="E3" s="204"/>
      <c r="F3" s="204"/>
      <c r="G3" s="204"/>
      <c r="H3" s="205"/>
    </row>
    <row r="4" spans="1:8" x14ac:dyDescent="0.25">
      <c r="A4" s="134" t="s">
        <v>5</v>
      </c>
      <c r="B4" s="135">
        <v>23455178.155064717</v>
      </c>
      <c r="C4" s="135">
        <v>23734514.146613341</v>
      </c>
      <c r="D4" s="135">
        <v>25998079.337134298</v>
      </c>
      <c r="E4" s="135">
        <v>31492949.717816163</v>
      </c>
      <c r="F4" s="135">
        <v>32139819.036981765</v>
      </c>
      <c r="G4" s="135">
        <v>32386703.448822342</v>
      </c>
      <c r="H4" s="135">
        <v>28629781.064313397</v>
      </c>
    </row>
    <row r="5" spans="1:8" x14ac:dyDescent="0.25">
      <c r="A5" s="134" t="s">
        <v>7</v>
      </c>
      <c r="B5" s="136">
        <v>101989.29601528493</v>
      </c>
      <c r="C5" s="136">
        <v>958867.88250740268</v>
      </c>
      <c r="D5" s="136">
        <v>576766.78535994736</v>
      </c>
      <c r="E5" s="136">
        <v>1168222.1700128636</v>
      </c>
      <c r="F5" s="136">
        <v>696288.34942603658</v>
      </c>
      <c r="G5" s="136">
        <v>799978.33399630466</v>
      </c>
      <c r="H5" s="136">
        <v>1439148.6481646779</v>
      </c>
    </row>
    <row r="6" spans="1:8" x14ac:dyDescent="0.25">
      <c r="A6" s="137" t="s">
        <v>8</v>
      </c>
      <c r="B6" s="138">
        <v>9966815.04428952</v>
      </c>
      <c r="C6" s="138">
        <v>10303484.0800959</v>
      </c>
      <c r="D6" s="138">
        <v>10767101.31528282</v>
      </c>
      <c r="E6" s="138">
        <v>11416018.589960909</v>
      </c>
      <c r="F6" s="138">
        <v>11937813.616230199</v>
      </c>
      <c r="G6" s="138">
        <v>12175795.91522802</v>
      </c>
      <c r="H6" s="138">
        <v>12468505.552771039</v>
      </c>
    </row>
    <row r="7" spans="1:8" x14ac:dyDescent="0.25">
      <c r="A7" s="134" t="s">
        <v>9</v>
      </c>
      <c r="B7" s="136">
        <v>143267474.42783964</v>
      </c>
      <c r="C7" s="136">
        <v>174704189.96038139</v>
      </c>
      <c r="D7" s="136">
        <v>152786362.38109446</v>
      </c>
      <c r="E7" s="136">
        <v>178397098.79860169</v>
      </c>
      <c r="F7" s="136">
        <v>177470212.79997259</v>
      </c>
      <c r="G7" s="136">
        <v>176549134.88044861</v>
      </c>
      <c r="H7" s="136">
        <v>185398225.28673089</v>
      </c>
    </row>
    <row r="8" spans="1:8" x14ac:dyDescent="0.25">
      <c r="A8" s="134" t="s">
        <v>10</v>
      </c>
      <c r="B8" s="136">
        <v>1877678.3067968749</v>
      </c>
      <c r="C8" s="136">
        <v>378100.83112960868</v>
      </c>
      <c r="D8" s="136">
        <v>4813864.8826209866</v>
      </c>
      <c r="E8" s="136">
        <v>3878357.298312556</v>
      </c>
      <c r="F8" s="136">
        <v>18613880.444204986</v>
      </c>
      <c r="G8" s="136">
        <v>24952253.56110768</v>
      </c>
      <c r="H8" s="136">
        <v>45702931.607757479</v>
      </c>
    </row>
    <row r="9" spans="1:8" x14ac:dyDescent="0.25">
      <c r="A9" s="134" t="s">
        <v>11</v>
      </c>
      <c r="B9" s="136">
        <v>11714575.369820224</v>
      </c>
      <c r="C9" s="136">
        <v>18708467.878285833</v>
      </c>
      <c r="D9" s="136">
        <v>15356382.357182028</v>
      </c>
      <c r="E9" s="136">
        <v>20965561.727568574</v>
      </c>
      <c r="F9" s="136">
        <v>19885456.081655256</v>
      </c>
      <c r="G9" s="136">
        <v>7987016.5573270284</v>
      </c>
      <c r="H9" s="136">
        <v>4527318.2715075389</v>
      </c>
    </row>
    <row r="10" spans="1:8" x14ac:dyDescent="0.25">
      <c r="A10" s="134" t="s">
        <v>13</v>
      </c>
      <c r="B10" s="136">
        <v>8956787.7904015221</v>
      </c>
      <c r="C10" s="136">
        <v>8384383.7705311235</v>
      </c>
      <c r="D10" s="136">
        <v>10211247.337318856</v>
      </c>
      <c r="E10" s="136">
        <v>12743971.326384913</v>
      </c>
      <c r="F10" s="136">
        <v>6717143.6980072809</v>
      </c>
      <c r="G10" s="136">
        <v>7940951.6033782698</v>
      </c>
      <c r="H10" s="136">
        <v>9865883.0344510227</v>
      </c>
    </row>
    <row r="11" spans="1:8" x14ac:dyDescent="0.25">
      <c r="A11" s="134" t="s">
        <v>14</v>
      </c>
      <c r="B11" s="136">
        <v>5105783.306370819</v>
      </c>
      <c r="C11" s="136">
        <v>4179004.9635561639</v>
      </c>
      <c r="D11" s="136">
        <v>7935773.9980699932</v>
      </c>
      <c r="E11" s="136">
        <v>8712630.1813159008</v>
      </c>
      <c r="F11" s="136">
        <v>361215.57142921537</v>
      </c>
      <c r="G11" s="136">
        <v>8182012.6913531814</v>
      </c>
      <c r="H11" s="136">
        <v>-568097.36129081808</v>
      </c>
    </row>
    <row r="12" spans="1:8" x14ac:dyDescent="0.25">
      <c r="A12" s="134" t="s">
        <v>15</v>
      </c>
      <c r="B12" s="136">
        <v>61303360.355680905</v>
      </c>
      <c r="C12" s="136">
        <v>70634222.728766724</v>
      </c>
      <c r="D12" s="136">
        <v>93567034.821759462</v>
      </c>
      <c r="E12" s="136">
        <v>88188709.561261415</v>
      </c>
      <c r="F12" s="136">
        <v>61711255.206619635</v>
      </c>
      <c r="G12" s="136">
        <v>63324826.123005442</v>
      </c>
      <c r="H12" s="136">
        <v>72537665.402760014</v>
      </c>
    </row>
    <row r="13" spans="1:8" x14ac:dyDescent="0.25">
      <c r="A13" s="134" t="s">
        <v>16</v>
      </c>
      <c r="B13" s="136">
        <v>1536126.4518136813</v>
      </c>
      <c r="C13" s="136">
        <v>-515719.58726598835</v>
      </c>
      <c r="D13" s="136">
        <v>833458.93109640665</v>
      </c>
      <c r="E13" s="136">
        <v>1108725.7047851691</v>
      </c>
      <c r="F13" s="136">
        <v>-950645.81247738563</v>
      </c>
      <c r="G13" s="136">
        <v>-2885265.6009693071</v>
      </c>
      <c r="H13" s="136">
        <v>1333395.2299851789</v>
      </c>
    </row>
    <row r="14" spans="1:8" x14ac:dyDescent="0.25">
      <c r="A14" s="134" t="s">
        <v>17</v>
      </c>
      <c r="B14" s="136">
        <v>4905862.5951027535</v>
      </c>
      <c r="C14" s="136">
        <v>3853638.1825543442</v>
      </c>
      <c r="D14" s="136">
        <v>3396703.4205872617</v>
      </c>
      <c r="E14" s="136">
        <v>7271626.3376876246</v>
      </c>
      <c r="F14" s="136">
        <v>-788774.65549726784</v>
      </c>
      <c r="G14" s="136">
        <v>1291724.9238600391</v>
      </c>
      <c r="H14" s="136">
        <v>21695635.489786364</v>
      </c>
    </row>
    <row r="15" spans="1:8" x14ac:dyDescent="0.25">
      <c r="A15" s="134" t="s">
        <v>18</v>
      </c>
      <c r="B15" s="136">
        <v>10656.79381976092</v>
      </c>
      <c r="C15" s="136">
        <v>18357.67584161591</v>
      </c>
      <c r="D15" s="136">
        <v>21713.647867377669</v>
      </c>
      <c r="E15" s="136">
        <v>75889.949561499976</v>
      </c>
      <c r="F15" s="136">
        <v>42349.058646983263</v>
      </c>
      <c r="G15" s="136">
        <v>40782.486203340064</v>
      </c>
      <c r="H15" s="136">
        <v>11754.359247603799</v>
      </c>
    </row>
    <row r="16" spans="1:8" x14ac:dyDescent="0.25">
      <c r="A16" s="134" t="s">
        <v>19</v>
      </c>
      <c r="B16" s="136">
        <v>175408.27199390653</v>
      </c>
      <c r="C16" s="136">
        <v>44227.81177027509</v>
      </c>
      <c r="D16" s="136">
        <v>308151.42524754006</v>
      </c>
      <c r="E16" s="136">
        <v>384344.34841952805</v>
      </c>
      <c r="F16" s="136">
        <v>62677.679809684822</v>
      </c>
      <c r="G16" s="136">
        <v>81703.320536971645</v>
      </c>
      <c r="H16" s="136">
        <v>226478.71436594205</v>
      </c>
    </row>
    <row r="17" spans="1:8" x14ac:dyDescent="0.25">
      <c r="A17" s="134" t="s">
        <v>20</v>
      </c>
      <c r="B17" s="136">
        <v>11881.132605815585</v>
      </c>
      <c r="C17" s="136">
        <v>2101.4910122232277</v>
      </c>
      <c r="D17" s="136">
        <v>1056383.42237574</v>
      </c>
      <c r="E17" s="136">
        <v>6748.5981228124856</v>
      </c>
      <c r="F17" s="136">
        <v>-315.90481337291351</v>
      </c>
      <c r="G17" s="136">
        <v>-5012.7827386071358</v>
      </c>
      <c r="H17" s="136">
        <v>5320.9862511930369</v>
      </c>
    </row>
    <row r="18" spans="1:8" x14ac:dyDescent="0.25">
      <c r="A18" s="134" t="s">
        <v>21</v>
      </c>
      <c r="B18" s="136">
        <v>12685237.583635982</v>
      </c>
      <c r="C18" s="136">
        <v>14702936.533827826</v>
      </c>
      <c r="D18" s="136">
        <v>15157140.363586213</v>
      </c>
      <c r="E18" s="136">
        <v>13993855.628515847</v>
      </c>
      <c r="F18" s="136">
        <v>8677654.2960598208</v>
      </c>
      <c r="G18" s="136">
        <v>10190538.358606223</v>
      </c>
      <c r="H18" s="136">
        <v>11528622.786158718</v>
      </c>
    </row>
    <row r="19" spans="1:8" x14ac:dyDescent="0.25">
      <c r="A19" s="134" t="s">
        <v>22</v>
      </c>
      <c r="B19" s="136">
        <v>1779584.9889506237</v>
      </c>
      <c r="C19" s="136">
        <v>1624406.8532118064</v>
      </c>
      <c r="D19" s="136">
        <v>259188.01553850295</v>
      </c>
      <c r="E19" s="136">
        <v>3809339.6751343999</v>
      </c>
      <c r="F19" s="136">
        <v>1050665.6151435922</v>
      </c>
      <c r="G19" s="136">
        <v>1945658.010577536</v>
      </c>
      <c r="H19" s="136">
        <v>3256270.8778150603</v>
      </c>
    </row>
    <row r="20" spans="1:8" x14ac:dyDescent="0.25">
      <c r="A20" s="139" t="s">
        <v>193</v>
      </c>
      <c r="B20" s="140">
        <f t="shared" ref="B20:H20" si="0">SUM(B4:B19)</f>
        <v>286854399.87020206</v>
      </c>
      <c r="C20" s="140">
        <f>SUM(C4:C19)</f>
        <v>331715185.20281965</v>
      </c>
      <c r="D20" s="140">
        <f t="shared" si="0"/>
        <v>343045352.44212192</v>
      </c>
      <c r="E20" s="140">
        <f t="shared" si="0"/>
        <v>383614049.61346185</v>
      </c>
      <c r="F20" s="140">
        <f t="shared" si="0"/>
        <v>337626695.08139908</v>
      </c>
      <c r="G20" s="140">
        <f t="shared" si="0"/>
        <v>344958801.83074301</v>
      </c>
      <c r="H20" s="140">
        <f t="shared" si="0"/>
        <v>398058839.95077538</v>
      </c>
    </row>
    <row r="21" spans="1:8" ht="15.75" x14ac:dyDescent="0.25">
      <c r="A21" s="24"/>
    </row>
  </sheetData>
  <mergeCells count="1">
    <mergeCell ref="B3:H3"/>
  </mergeCells>
  <pageMargins left="0.7" right="0.7" top="0.75" bottom="0.75" header="0.3" footer="0.3"/>
  <pageSetup paperSize="9" orientation="portrait" horizontalDpi="0" verticalDpi="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6"/>
  <sheetViews>
    <sheetView zoomScale="62" zoomScaleNormal="62" workbookViewId="0">
      <selection activeCell="A3" sqref="A3:H33"/>
    </sheetView>
  </sheetViews>
  <sheetFormatPr defaultColWidth="8.85546875" defaultRowHeight="15" x14ac:dyDescent="0.25"/>
  <cols>
    <col min="1" max="1" width="11.140625" style="7" bestFit="1" customWidth="1"/>
    <col min="2" max="2" width="20.5703125" style="7" bestFit="1" customWidth="1"/>
    <col min="3" max="3" width="20.140625" style="7" customWidth="1"/>
    <col min="4" max="4" width="20.5703125" style="7" customWidth="1"/>
    <col min="5" max="5" width="20.85546875" style="7" customWidth="1"/>
    <col min="6" max="6" width="20.5703125" style="7" customWidth="1"/>
    <col min="7" max="7" width="21.42578125" style="7" customWidth="1"/>
    <col min="8" max="8" width="20.5703125" style="7" customWidth="1"/>
    <col min="9" max="16384" width="8.85546875" style="7"/>
  </cols>
  <sheetData>
    <row r="1" spans="1:11" x14ac:dyDescent="0.25">
      <c r="A1" s="64" t="s">
        <v>317</v>
      </c>
    </row>
    <row r="2" spans="1:11" x14ac:dyDescent="0.25">
      <c r="A2" s="25"/>
      <c r="B2" s="26"/>
    </row>
    <row r="3" spans="1:11" x14ac:dyDescent="0.25">
      <c r="A3" s="2"/>
      <c r="B3" s="133" t="s">
        <v>197</v>
      </c>
      <c r="C3" s="133" t="s">
        <v>196</v>
      </c>
      <c r="D3" s="133" t="s">
        <v>207</v>
      </c>
      <c r="E3" s="133" t="s">
        <v>205</v>
      </c>
      <c r="F3" s="133" t="s">
        <v>206</v>
      </c>
      <c r="G3" s="133" t="s">
        <v>208</v>
      </c>
      <c r="H3" s="133" t="s">
        <v>195</v>
      </c>
    </row>
    <row r="4" spans="1:11" x14ac:dyDescent="0.25">
      <c r="A4" s="141" t="s">
        <v>202</v>
      </c>
      <c r="B4" s="203" t="s">
        <v>323</v>
      </c>
      <c r="C4" s="204"/>
      <c r="D4" s="204"/>
      <c r="E4" s="204"/>
      <c r="F4" s="204"/>
      <c r="G4" s="204"/>
      <c r="H4" s="205"/>
    </row>
    <row r="5" spans="1:11" x14ac:dyDescent="0.25">
      <c r="A5" s="142" t="s">
        <v>40</v>
      </c>
      <c r="B5" s="143">
        <v>63036872.700000003</v>
      </c>
      <c r="C5" s="143">
        <v>67775736.600000009</v>
      </c>
      <c r="D5" s="143">
        <v>76747878.900000006</v>
      </c>
      <c r="E5" s="143">
        <v>84744775.5</v>
      </c>
      <c r="F5" s="143">
        <v>89429617.200000003</v>
      </c>
      <c r="G5" s="143">
        <v>95206072.5</v>
      </c>
      <c r="H5" s="143">
        <v>97215633.900000006</v>
      </c>
      <c r="J5" s="27"/>
      <c r="K5" s="28"/>
    </row>
    <row r="6" spans="1:11" x14ac:dyDescent="0.25">
      <c r="A6" s="144" t="s">
        <v>41</v>
      </c>
      <c r="B6" s="145">
        <v>855789.24915000016</v>
      </c>
      <c r="C6" s="145">
        <v>1392711.4376059501</v>
      </c>
      <c r="D6" s="145">
        <v>928113.67807499983</v>
      </c>
      <c r="E6" s="146">
        <v>1031581.0389000002</v>
      </c>
      <c r="F6" s="145">
        <v>1016447.5661999999</v>
      </c>
      <c r="G6" s="145">
        <v>957535.69064999989</v>
      </c>
      <c r="H6" s="145">
        <v>368824.39</v>
      </c>
      <c r="J6" s="27"/>
      <c r="K6" s="28"/>
    </row>
    <row r="7" spans="1:11" x14ac:dyDescent="0.25">
      <c r="A7" s="144" t="s">
        <v>42</v>
      </c>
      <c r="B7" s="145">
        <v>765864.95261076814</v>
      </c>
      <c r="C7" s="145">
        <v>317355.50066023011</v>
      </c>
      <c r="D7" s="145">
        <v>198605.22616239896</v>
      </c>
      <c r="E7" s="146">
        <v>179787.60357149201</v>
      </c>
      <c r="F7" s="145">
        <v>3884529.4003170533</v>
      </c>
      <c r="G7" s="145">
        <v>395786.24407199945</v>
      </c>
      <c r="H7" s="145">
        <v>425291.51626799983</v>
      </c>
      <c r="J7" s="27"/>
      <c r="K7" s="28"/>
    </row>
    <row r="8" spans="1:11" x14ac:dyDescent="0.25">
      <c r="A8" s="144" t="s">
        <v>43</v>
      </c>
      <c r="B8" s="145">
        <v>350.81731235999996</v>
      </c>
      <c r="C8" s="145">
        <v>140979.79162999999</v>
      </c>
      <c r="D8" s="145">
        <v>141786.51591627998</v>
      </c>
      <c r="E8" s="146">
        <v>63981.974104720008</v>
      </c>
      <c r="F8" s="145">
        <v>4596.801238944</v>
      </c>
      <c r="G8" s="145">
        <v>40743.934120111007</v>
      </c>
      <c r="H8" s="145">
        <v>5921.5173800000002</v>
      </c>
      <c r="J8" s="27"/>
      <c r="K8" s="28"/>
    </row>
    <row r="9" spans="1:11" x14ac:dyDescent="0.25">
      <c r="A9" s="144" t="s">
        <v>44</v>
      </c>
      <c r="B9" s="145">
        <v>2291403.0951173441</v>
      </c>
      <c r="C9" s="145">
        <v>3148168.743309001</v>
      </c>
      <c r="D9" s="145">
        <v>63830.616538176022</v>
      </c>
      <c r="E9" s="146">
        <v>212173.91959799992</v>
      </c>
      <c r="F9" s="145">
        <v>246367.17501959999</v>
      </c>
      <c r="G9" s="145">
        <v>417661.92332940007</v>
      </c>
      <c r="H9" s="145">
        <v>9976195.7932690047</v>
      </c>
      <c r="J9" s="27"/>
      <c r="K9" s="28"/>
    </row>
    <row r="10" spans="1:11" x14ac:dyDescent="0.25">
      <c r="A10" s="144" t="s">
        <v>45</v>
      </c>
      <c r="B10" s="145">
        <v>2954.0672922600002</v>
      </c>
      <c r="C10" s="145">
        <v>51894.882981044997</v>
      </c>
      <c r="D10" s="145">
        <v>487.14447478200009</v>
      </c>
      <c r="E10" s="146">
        <v>513.61952394000002</v>
      </c>
      <c r="F10" s="145">
        <v>71.975539437000009</v>
      </c>
      <c r="G10" s="145">
        <v>4.9587150000000007</v>
      </c>
      <c r="H10" s="145">
        <v>0</v>
      </c>
      <c r="J10" s="27"/>
      <c r="K10" s="28"/>
    </row>
    <row r="11" spans="1:11" x14ac:dyDescent="0.25">
      <c r="A11" s="144" t="s">
        <v>46</v>
      </c>
      <c r="B11" s="145">
        <v>3172616.0444999998</v>
      </c>
      <c r="C11" s="145">
        <v>82485.40155000001</v>
      </c>
      <c r="D11" s="145">
        <v>16940.858175000001</v>
      </c>
      <c r="E11" s="146">
        <v>47378.802749999995</v>
      </c>
      <c r="F11" s="145">
        <v>17549.545425</v>
      </c>
      <c r="G11" s="145">
        <v>19780.355549999997</v>
      </c>
      <c r="H11" s="145">
        <v>4050.75</v>
      </c>
      <c r="J11" s="27"/>
      <c r="K11" s="28"/>
    </row>
    <row r="12" spans="1:11" x14ac:dyDescent="0.25">
      <c r="A12" s="142" t="s">
        <v>77</v>
      </c>
      <c r="B12" s="143">
        <v>20951788.606394552</v>
      </c>
      <c r="C12" s="143">
        <v>20218352.049838684</v>
      </c>
      <c r="D12" s="143">
        <v>20266679.835033149</v>
      </c>
      <c r="E12" s="143">
        <v>21711923.057741355</v>
      </c>
      <c r="F12" s="143">
        <v>22597658.421123654</v>
      </c>
      <c r="G12" s="143">
        <v>23402398.49640375</v>
      </c>
      <c r="H12" s="143">
        <v>23156238.991925552</v>
      </c>
      <c r="J12" s="27"/>
      <c r="K12" s="28"/>
    </row>
    <row r="13" spans="1:11" x14ac:dyDescent="0.25">
      <c r="A13" s="144" t="s">
        <v>78</v>
      </c>
      <c r="B13" s="145">
        <v>245383.6</v>
      </c>
      <c r="C13" s="145">
        <v>496387.5</v>
      </c>
      <c r="D13" s="145">
        <v>638600</v>
      </c>
      <c r="E13" s="86">
        <v>589180.69289299997</v>
      </c>
      <c r="F13" s="145">
        <v>1334240</v>
      </c>
      <c r="G13" s="145">
        <v>2218050</v>
      </c>
      <c r="H13" s="145">
        <v>390716.91960000002</v>
      </c>
      <c r="J13" s="27"/>
      <c r="K13" s="28"/>
    </row>
    <row r="14" spans="1:11" x14ac:dyDescent="0.25">
      <c r="A14" s="144" t="s">
        <v>80</v>
      </c>
      <c r="B14" s="145">
        <v>337590</v>
      </c>
      <c r="C14" s="145">
        <v>239939.99999999997</v>
      </c>
      <c r="D14" s="145">
        <v>234359.99999999997</v>
      </c>
      <c r="E14" s="86">
        <v>343170</v>
      </c>
      <c r="F14" s="145">
        <v>343170</v>
      </c>
      <c r="G14" s="145">
        <v>329220</v>
      </c>
      <c r="H14" s="145">
        <v>276209.99999999994</v>
      </c>
      <c r="J14" s="27"/>
      <c r="K14" s="28"/>
    </row>
    <row r="15" spans="1:11" x14ac:dyDescent="0.25">
      <c r="A15" s="144" t="s">
        <v>81</v>
      </c>
      <c r="B15" s="145">
        <v>101145.00000000001</v>
      </c>
      <c r="C15" s="145">
        <v>107151.00000000001</v>
      </c>
      <c r="D15" s="145">
        <v>73205</v>
      </c>
      <c r="E15" s="86">
        <v>24222.000000000004</v>
      </c>
      <c r="F15" s="145">
        <v>49170.000000000007</v>
      </c>
      <c r="G15" s="145">
        <v>73029</v>
      </c>
      <c r="H15" s="145">
        <v>78078</v>
      </c>
      <c r="J15" s="27"/>
      <c r="K15" s="28"/>
    </row>
    <row r="16" spans="1:11" x14ac:dyDescent="0.25">
      <c r="A16" s="144" t="s">
        <v>82</v>
      </c>
      <c r="B16" s="145">
        <v>87144.2</v>
      </c>
      <c r="C16" s="145">
        <v>81922.75</v>
      </c>
      <c r="D16" s="145">
        <v>73792.800000000003</v>
      </c>
      <c r="E16" s="86">
        <v>84928.2</v>
      </c>
      <c r="F16" s="145">
        <v>88667.7</v>
      </c>
      <c r="G16" s="145">
        <v>72213.899999999994</v>
      </c>
      <c r="H16" s="145">
        <v>69443.899999999994</v>
      </c>
      <c r="J16" s="27"/>
      <c r="K16" s="28"/>
    </row>
    <row r="17" spans="1:11" x14ac:dyDescent="0.25">
      <c r="A17" s="144" t="s">
        <v>83</v>
      </c>
      <c r="B17" s="145">
        <v>286772.28000000003</v>
      </c>
      <c r="C17" s="145">
        <v>276760.38</v>
      </c>
      <c r="D17" s="145">
        <v>274488.90000000002</v>
      </c>
      <c r="E17" s="86">
        <v>284050.92000000004</v>
      </c>
      <c r="F17" s="145">
        <v>317228.88</v>
      </c>
      <c r="G17" s="145">
        <v>332693.16000000003</v>
      </c>
      <c r="H17" s="145">
        <v>336415.02</v>
      </c>
      <c r="J17" s="27"/>
      <c r="K17" s="28"/>
    </row>
    <row r="18" spans="1:11" x14ac:dyDescent="0.25">
      <c r="A18" s="144" t="s">
        <v>47</v>
      </c>
      <c r="B18" s="145">
        <v>456853.19</v>
      </c>
      <c r="C18" s="145">
        <v>405544.69</v>
      </c>
      <c r="D18" s="145">
        <v>273399.36000000004</v>
      </c>
      <c r="E18" s="86">
        <v>381446.99</v>
      </c>
      <c r="F18" s="145">
        <v>431833.09</v>
      </c>
      <c r="G18" s="145">
        <v>414999.29000000004</v>
      </c>
      <c r="H18" s="145">
        <v>293911.23</v>
      </c>
      <c r="J18" s="27"/>
      <c r="K18" s="28"/>
    </row>
    <row r="19" spans="1:11" x14ac:dyDescent="0.25">
      <c r="A19" s="144" t="s">
        <v>48</v>
      </c>
      <c r="B19" s="145">
        <v>4810619</v>
      </c>
      <c r="C19" s="145">
        <v>5038330</v>
      </c>
      <c r="D19" s="145">
        <v>4731727</v>
      </c>
      <c r="E19" s="147">
        <v>4509395</v>
      </c>
      <c r="F19" s="148">
        <v>4778345</v>
      </c>
      <c r="G19" s="148">
        <v>5952760</v>
      </c>
      <c r="H19" s="145">
        <v>5943795</v>
      </c>
      <c r="J19" s="27"/>
      <c r="K19" s="28"/>
    </row>
    <row r="20" spans="1:11" x14ac:dyDescent="0.25">
      <c r="A20" s="144" t="s">
        <v>49</v>
      </c>
      <c r="B20" s="145">
        <v>210008.8</v>
      </c>
      <c r="C20" s="145">
        <v>228577.94</v>
      </c>
      <c r="D20" s="145">
        <v>238782.38</v>
      </c>
      <c r="E20" s="147">
        <v>480488.04</v>
      </c>
      <c r="F20" s="148">
        <v>482117.12</v>
      </c>
      <c r="G20" s="148">
        <v>485289.94</v>
      </c>
      <c r="H20" s="145">
        <v>439716.74</v>
      </c>
      <c r="J20" s="27"/>
      <c r="K20" s="28"/>
    </row>
    <row r="21" spans="1:11" x14ac:dyDescent="0.25">
      <c r="A21" s="144" t="s">
        <v>50</v>
      </c>
      <c r="B21" s="145">
        <v>3691488</v>
      </c>
      <c r="C21" s="145">
        <v>4383642</v>
      </c>
      <c r="D21" s="145">
        <v>4499001</v>
      </c>
      <c r="E21" s="147">
        <v>5921762</v>
      </c>
      <c r="F21" s="145">
        <v>6306292</v>
      </c>
      <c r="G21" s="145">
        <v>6498557</v>
      </c>
      <c r="H21" s="145">
        <v>6613916</v>
      </c>
      <c r="J21" s="27"/>
      <c r="K21" s="28"/>
    </row>
    <row r="22" spans="1:11" x14ac:dyDescent="0.25">
      <c r="A22" s="144" t="s">
        <v>51</v>
      </c>
      <c r="B22" s="145">
        <v>176860</v>
      </c>
      <c r="C22" s="145">
        <v>186420</v>
      </c>
      <c r="D22" s="145">
        <v>143400</v>
      </c>
      <c r="E22" s="147">
        <v>186420</v>
      </c>
      <c r="F22" s="148">
        <v>181640</v>
      </c>
      <c r="G22" s="148">
        <v>181640</v>
      </c>
      <c r="H22" s="145">
        <v>157740</v>
      </c>
      <c r="J22" s="27"/>
      <c r="K22" s="28"/>
    </row>
    <row r="23" spans="1:11" x14ac:dyDescent="0.25">
      <c r="A23" s="144" t="s">
        <v>52</v>
      </c>
      <c r="B23" s="145">
        <v>1639183.6</v>
      </c>
      <c r="C23" s="145">
        <v>1656604.7999999998</v>
      </c>
      <c r="D23" s="145">
        <v>1441032</v>
      </c>
      <c r="E23" s="147">
        <v>1627388.4</v>
      </c>
      <c r="F23" s="148">
        <v>1755467.2</v>
      </c>
      <c r="G23" s="148">
        <v>1736959.6</v>
      </c>
      <c r="H23" s="145">
        <v>1567597.6</v>
      </c>
      <c r="J23" s="27"/>
      <c r="K23" s="28"/>
    </row>
    <row r="24" spans="1:11" x14ac:dyDescent="0.25">
      <c r="A24" s="144" t="s">
        <v>86</v>
      </c>
      <c r="B24" s="145">
        <v>5682924.8662515357</v>
      </c>
      <c r="C24" s="145">
        <v>6552920.2615065025</v>
      </c>
      <c r="D24" s="145">
        <v>7538877.42199519</v>
      </c>
      <c r="E24" s="145">
        <v>6180177.6147959279</v>
      </c>
      <c r="F24" s="145">
        <v>7153360.9701837208</v>
      </c>
      <c r="G24" s="145">
        <v>16130414.820244262</v>
      </c>
      <c r="H24" s="145">
        <v>12751704.209903551</v>
      </c>
      <c r="J24" s="27"/>
      <c r="K24" s="28"/>
    </row>
    <row r="25" spans="1:11" x14ac:dyDescent="0.25">
      <c r="A25" s="144" t="s">
        <v>87</v>
      </c>
      <c r="B25" s="145">
        <v>718521.39868263237</v>
      </c>
      <c r="C25" s="145">
        <v>1907670.5913528237</v>
      </c>
      <c r="D25" s="145">
        <v>790024.96297591378</v>
      </c>
      <c r="E25" s="145">
        <v>880193.25388757954</v>
      </c>
      <c r="F25" s="145">
        <v>3754223.4944319688</v>
      </c>
      <c r="G25" s="145">
        <v>905144.69760547788</v>
      </c>
      <c r="H25" s="145">
        <v>1228284.3835129556</v>
      </c>
      <c r="J25" s="27"/>
      <c r="K25" s="28"/>
    </row>
    <row r="26" spans="1:11" x14ac:dyDescent="0.25">
      <c r="A26" s="142" t="s">
        <v>88</v>
      </c>
      <c r="B26" s="143">
        <v>1902450</v>
      </c>
      <c r="C26" s="143">
        <v>2041050</v>
      </c>
      <c r="D26" s="143">
        <v>2222139.15</v>
      </c>
      <c r="E26" s="143">
        <v>2515839.15</v>
      </c>
      <c r="F26" s="143">
        <v>2674704.4499999997</v>
      </c>
      <c r="G26" s="143">
        <v>2729357.4</v>
      </c>
      <c r="H26" s="143">
        <v>2838704.55</v>
      </c>
      <c r="J26" s="27"/>
      <c r="K26" s="28"/>
    </row>
    <row r="27" spans="1:11" x14ac:dyDescent="0.25">
      <c r="A27" s="142" t="s">
        <v>90</v>
      </c>
      <c r="B27" s="143">
        <v>23206.04</v>
      </c>
      <c r="C27" s="143">
        <v>30287.920000000002</v>
      </c>
      <c r="D27" s="143">
        <v>31367.960000000003</v>
      </c>
      <c r="E27" s="143">
        <v>33445.880000000005</v>
      </c>
      <c r="F27" s="143">
        <v>29792.880000000001</v>
      </c>
      <c r="G27" s="143">
        <v>47892</v>
      </c>
      <c r="H27" s="143">
        <v>61524.840000000004</v>
      </c>
      <c r="J27" s="27"/>
      <c r="K27" s="28"/>
    </row>
    <row r="28" spans="1:11" x14ac:dyDescent="0.25">
      <c r="A28" s="142" t="s">
        <v>91</v>
      </c>
      <c r="B28" s="143">
        <v>201900.85</v>
      </c>
      <c r="C28" s="143">
        <v>242249.75</v>
      </c>
      <c r="D28" s="143">
        <v>306918.23000000004</v>
      </c>
      <c r="E28" s="143">
        <v>325400.92000000004</v>
      </c>
      <c r="F28" s="143">
        <v>392413.06</v>
      </c>
      <c r="G28" s="143">
        <v>415332.91000000003</v>
      </c>
      <c r="H28" s="143">
        <v>373240.84</v>
      </c>
      <c r="J28" s="27"/>
      <c r="K28" s="28"/>
    </row>
    <row r="29" spans="1:11" x14ac:dyDescent="0.25">
      <c r="A29" s="144" t="s">
        <v>92</v>
      </c>
      <c r="B29" s="148">
        <v>22693.25244</v>
      </c>
      <c r="C29" s="145">
        <v>20720.969250000002</v>
      </c>
      <c r="D29" s="148">
        <v>617.89454999999998</v>
      </c>
      <c r="E29" s="148"/>
      <c r="F29" s="145">
        <v>521.32014000000004</v>
      </c>
      <c r="G29" s="145"/>
      <c r="H29" s="145">
        <v>169.03410600000001</v>
      </c>
      <c r="J29" s="27"/>
      <c r="K29" s="28"/>
    </row>
    <row r="30" spans="1:11" x14ac:dyDescent="0.25">
      <c r="A30" s="144" t="s">
        <v>93</v>
      </c>
      <c r="B30" s="148">
        <v>727020.35009340616</v>
      </c>
      <c r="C30" s="145">
        <v>2110594.8409468825</v>
      </c>
      <c r="D30" s="148">
        <v>536392.81903258432</v>
      </c>
      <c r="E30" s="145">
        <v>492121.1203517784</v>
      </c>
      <c r="F30" s="145">
        <v>1973496.227524756</v>
      </c>
      <c r="G30" s="145">
        <v>1934581.6161904272</v>
      </c>
      <c r="H30" s="145">
        <v>1843689.2724190503</v>
      </c>
      <c r="J30" s="27"/>
      <c r="K30" s="28"/>
    </row>
    <row r="31" spans="1:11" x14ac:dyDescent="0.25">
      <c r="A31" s="144" t="s">
        <v>94</v>
      </c>
      <c r="B31" s="148">
        <v>338324.80399795668</v>
      </c>
      <c r="C31" s="145">
        <v>29695.47566198992</v>
      </c>
      <c r="D31" s="148">
        <v>226472.12243165993</v>
      </c>
      <c r="E31" s="145">
        <v>508670.7200245579</v>
      </c>
      <c r="F31" s="145">
        <v>371729.50876745424</v>
      </c>
      <c r="G31" s="145">
        <v>818835.71553567413</v>
      </c>
      <c r="H31" s="145">
        <v>449876.52523144003</v>
      </c>
      <c r="J31" s="27"/>
      <c r="K31" s="28"/>
    </row>
    <row r="32" spans="1:11" x14ac:dyDescent="0.25">
      <c r="A32" s="144" t="s">
        <v>96</v>
      </c>
      <c r="B32" s="148">
        <v>2207684.2523175003</v>
      </c>
      <c r="C32" s="145">
        <v>2345963.9968050001</v>
      </c>
      <c r="D32" s="148">
        <v>2508947.3017949997</v>
      </c>
      <c r="E32" s="145">
        <v>2704507.2030075002</v>
      </c>
      <c r="F32" s="145">
        <v>2725116.5938425004</v>
      </c>
      <c r="G32" s="145">
        <v>2781751.8113549999</v>
      </c>
      <c r="H32" s="145">
        <v>2880035.7700124998</v>
      </c>
      <c r="J32" s="27"/>
      <c r="K32" s="28"/>
    </row>
    <row r="33" spans="1:11" x14ac:dyDescent="0.25">
      <c r="A33" s="144" t="s">
        <v>201</v>
      </c>
      <c r="B33" s="149">
        <f>SUM(B5:B32)</f>
        <v>114945413.01616031</v>
      </c>
      <c r="C33" s="149">
        <f t="shared" ref="C33:H33" si="0">SUM(C5:C32)</f>
        <v>121510119.2730981</v>
      </c>
      <c r="D33" s="149">
        <f t="shared" si="0"/>
        <v>125147869.07715514</v>
      </c>
      <c r="E33" s="149">
        <f t="shared" si="0"/>
        <v>136064923.62114987</v>
      </c>
      <c r="F33" s="149">
        <f t="shared" si="0"/>
        <v>152340367.57975411</v>
      </c>
      <c r="G33" s="149">
        <f t="shared" si="0"/>
        <v>164498706.9637711</v>
      </c>
      <c r="H33" s="149">
        <f t="shared" si="0"/>
        <v>169746926.69362804</v>
      </c>
      <c r="J33" s="27"/>
      <c r="K33" s="28"/>
    </row>
    <row r="34" spans="1:11" x14ac:dyDescent="0.25">
      <c r="J34" s="27"/>
      <c r="K34" s="28"/>
    </row>
    <row r="35" spans="1:11" x14ac:dyDescent="0.25">
      <c r="J35" s="27"/>
      <c r="K35" s="28"/>
    </row>
    <row r="36" spans="1:11" x14ac:dyDescent="0.25">
      <c r="J36" s="27"/>
      <c r="K36" s="28"/>
    </row>
  </sheetData>
  <mergeCells count="1">
    <mergeCell ref="B4:H4"/>
  </mergeCells>
  <pageMargins left="0.7" right="0.7" top="0.75" bottom="0.75" header="0.3" footer="0.3"/>
  <pageSetup paperSize="9" orientation="portrait" horizontalDpi="0" verticalDpi="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3"/>
  <sheetViews>
    <sheetView workbookViewId="0"/>
  </sheetViews>
  <sheetFormatPr defaultColWidth="10.85546875" defaultRowHeight="15" x14ac:dyDescent="0.25"/>
  <cols>
    <col min="1" max="1" width="10.85546875" style="7"/>
    <col min="2" max="2" width="18.42578125" style="7" bestFit="1" customWidth="1"/>
    <col min="3" max="3" width="14.85546875" style="7" customWidth="1"/>
    <col min="4" max="4" width="14.42578125" style="7" customWidth="1"/>
    <col min="5" max="16384" width="10.85546875" style="7"/>
  </cols>
  <sheetData>
    <row r="1" spans="1:7" x14ac:dyDescent="0.25">
      <c r="A1" s="64" t="s">
        <v>318</v>
      </c>
      <c r="B1" s="51"/>
      <c r="C1" s="51"/>
      <c r="D1" s="51"/>
    </row>
    <row r="2" spans="1:7" x14ac:dyDescent="0.25">
      <c r="A2" s="207" t="s">
        <v>256</v>
      </c>
      <c r="B2" s="207"/>
      <c r="C2" s="207"/>
      <c r="D2" s="207"/>
    </row>
    <row r="3" spans="1:7" ht="45" x14ac:dyDescent="0.25">
      <c r="A3" s="67" t="s">
        <v>200</v>
      </c>
      <c r="B3" s="68" t="s">
        <v>306</v>
      </c>
      <c r="C3" s="68" t="s">
        <v>294</v>
      </c>
      <c r="D3" s="68" t="s">
        <v>295</v>
      </c>
    </row>
    <row r="4" spans="1:7" x14ac:dyDescent="0.25">
      <c r="A4" s="11" t="s">
        <v>197</v>
      </c>
      <c r="B4" s="12">
        <f>'1'!D103*10^3</f>
        <v>401799812.88636231</v>
      </c>
      <c r="C4" s="13">
        <v>395747715.27485085</v>
      </c>
      <c r="D4" s="13">
        <v>395747724.15100783</v>
      </c>
      <c r="F4" s="8"/>
      <c r="G4" s="8"/>
    </row>
    <row r="5" spans="1:7" x14ac:dyDescent="0.25">
      <c r="A5" s="11" t="s">
        <v>196</v>
      </c>
      <c r="B5" s="12">
        <f>'1'!E103*10^3</f>
        <v>453741024.06318361</v>
      </c>
      <c r="C5" s="13">
        <v>408175867.02273893</v>
      </c>
      <c r="D5" s="13">
        <v>433585145.34860694</v>
      </c>
      <c r="F5" s="8"/>
      <c r="G5" s="8"/>
    </row>
    <row r="6" spans="1:7" x14ac:dyDescent="0.25">
      <c r="A6" s="11" t="s">
        <v>207</v>
      </c>
      <c r="B6" s="12">
        <f>'1'!F103*10^3</f>
        <v>468193221.51927698</v>
      </c>
      <c r="C6" s="13">
        <v>425901618.31682611</v>
      </c>
      <c r="D6" s="13">
        <v>437861762.57778215</v>
      </c>
      <c r="F6" s="8"/>
      <c r="G6" s="8"/>
    </row>
    <row r="7" spans="1:7" x14ac:dyDescent="0.25">
      <c r="A7" s="11" t="s">
        <v>205</v>
      </c>
      <c r="B7" s="12">
        <f>'1'!G103*10^3</f>
        <v>519678973.23461175</v>
      </c>
      <c r="C7" s="13">
        <v>462463933.55257577</v>
      </c>
      <c r="D7" s="13">
        <v>469449997.74678576</v>
      </c>
      <c r="F7" s="8"/>
      <c r="G7" s="8"/>
    </row>
    <row r="8" spans="1:7" x14ac:dyDescent="0.25">
      <c r="A8" s="11" t="s">
        <v>206</v>
      </c>
      <c r="B8" s="12">
        <f>'1'!H103*10^3</f>
        <v>490918024.37844384</v>
      </c>
      <c r="C8" s="13">
        <v>476164039.33623886</v>
      </c>
      <c r="D8" s="13">
        <v>598037499.97153497</v>
      </c>
      <c r="F8" s="8"/>
      <c r="G8" s="8"/>
    </row>
    <row r="9" spans="1:7" x14ac:dyDescent="0.25">
      <c r="A9" s="11" t="s">
        <v>208</v>
      </c>
      <c r="B9" s="12">
        <f>'1'!I103*10^3</f>
        <v>512347787.17822212</v>
      </c>
      <c r="C9" s="13">
        <v>521955412.73801601</v>
      </c>
      <c r="D9" s="13">
        <v>553472126.55002797</v>
      </c>
      <c r="F9" s="8"/>
      <c r="G9" s="8"/>
    </row>
    <row r="10" spans="1:7" x14ac:dyDescent="0.25">
      <c r="A10" s="11" t="s">
        <v>195</v>
      </c>
      <c r="B10" s="12">
        <f>'1'!J103*10^3</f>
        <v>567805766.64440322</v>
      </c>
      <c r="C10" s="13">
        <v>563702432.97981083</v>
      </c>
      <c r="D10" s="13">
        <v>569088337.89077997</v>
      </c>
      <c r="F10" s="8"/>
      <c r="G10" s="8"/>
    </row>
    <row r="11" spans="1:7" x14ac:dyDescent="0.25">
      <c r="A11" s="14">
        <v>2007</v>
      </c>
      <c r="B11" s="15">
        <f>(1/4)*B4+(3/4)*B5</f>
        <v>440755721.2689783</v>
      </c>
      <c r="C11" s="15">
        <f t="shared" ref="C11:D11" si="0">(1/4)*C4+(3/4)*C5</f>
        <v>405068829.08576691</v>
      </c>
      <c r="D11" s="15">
        <f t="shared" si="0"/>
        <v>424125790.04920715</v>
      </c>
    </row>
    <row r="12" spans="1:7" x14ac:dyDescent="0.25">
      <c r="A12" s="14">
        <v>2008</v>
      </c>
      <c r="B12" s="15">
        <f t="shared" ref="B12:D16" si="1">(1/4)*B5+(3/4)*B6</f>
        <v>464580172.15525359</v>
      </c>
      <c r="C12" s="15">
        <f t="shared" si="1"/>
        <v>421470180.49330431</v>
      </c>
      <c r="D12" s="15">
        <f t="shared" si="1"/>
        <v>436792608.27048838</v>
      </c>
    </row>
    <row r="13" spans="1:7" x14ac:dyDescent="0.25">
      <c r="A13" s="14">
        <v>2009</v>
      </c>
      <c r="B13" s="15">
        <f t="shared" si="1"/>
        <v>506807535.30577803</v>
      </c>
      <c r="C13" s="15">
        <f t="shared" si="1"/>
        <v>453323354.74363834</v>
      </c>
      <c r="D13" s="15">
        <f t="shared" si="1"/>
        <v>461552938.95453489</v>
      </c>
    </row>
    <row r="14" spans="1:7" x14ac:dyDescent="0.25">
      <c r="A14" s="14">
        <v>2010</v>
      </c>
      <c r="B14" s="15">
        <f t="shared" si="1"/>
        <v>498108261.59248585</v>
      </c>
      <c r="C14" s="15">
        <f t="shared" si="1"/>
        <v>472739012.8903231</v>
      </c>
      <c r="D14" s="15">
        <f t="shared" si="1"/>
        <v>565890624.4153477</v>
      </c>
    </row>
    <row r="15" spans="1:7" x14ac:dyDescent="0.25">
      <c r="A15" s="14">
        <v>2011</v>
      </c>
      <c r="B15" s="15">
        <f t="shared" si="1"/>
        <v>506990346.47827756</v>
      </c>
      <c r="C15" s="15">
        <f t="shared" si="1"/>
        <v>510507569.38757169</v>
      </c>
      <c r="D15" s="15">
        <f t="shared" si="1"/>
        <v>564613469.90540481</v>
      </c>
    </row>
    <row r="16" spans="1:7" x14ac:dyDescent="0.25">
      <c r="A16" s="14">
        <v>2012</v>
      </c>
      <c r="B16" s="15">
        <f t="shared" si="1"/>
        <v>553941271.7778579</v>
      </c>
      <c r="C16" s="15">
        <f t="shared" si="1"/>
        <v>553265677.91936219</v>
      </c>
      <c r="D16" s="15">
        <f t="shared" si="1"/>
        <v>565184285.05559194</v>
      </c>
    </row>
    <row r="17" spans="1:4" x14ac:dyDescent="0.25">
      <c r="A17" s="206" t="s">
        <v>209</v>
      </c>
      <c r="B17" s="206"/>
      <c r="C17" s="206"/>
      <c r="D17" s="206"/>
    </row>
    <row r="18" spans="1:4" x14ac:dyDescent="0.25">
      <c r="A18" s="14">
        <v>2007</v>
      </c>
      <c r="B18" s="14"/>
      <c r="C18" s="16">
        <f>(C11-B11)/B11</f>
        <v>-8.0967507535614908E-2</v>
      </c>
      <c r="D18" s="17">
        <f>(D11-B11)/B11</f>
        <v>-3.7730494278989661E-2</v>
      </c>
    </row>
    <row r="19" spans="1:4" x14ac:dyDescent="0.25">
      <c r="A19" s="14">
        <v>2008</v>
      </c>
      <c r="B19" s="14"/>
      <c r="C19" s="16">
        <f t="shared" ref="C19:C23" si="2">(C12-B12)/B12</f>
        <v>-9.2793438561865185E-2</v>
      </c>
      <c r="D19" s="17">
        <f t="shared" ref="D19:D23" si="3">(D12-B12)/B12</f>
        <v>-5.9812203684575564E-2</v>
      </c>
    </row>
    <row r="20" spans="1:4" x14ac:dyDescent="0.25">
      <c r="A20" s="14">
        <v>2009</v>
      </c>
      <c r="B20" s="14"/>
      <c r="C20" s="16">
        <f t="shared" si="2"/>
        <v>-0.10553154173185382</v>
      </c>
      <c r="D20" s="17">
        <f t="shared" si="3"/>
        <v>-8.9293455993978393E-2</v>
      </c>
    </row>
    <row r="21" spans="1:4" x14ac:dyDescent="0.25">
      <c r="A21" s="14">
        <v>2010</v>
      </c>
      <c r="B21" s="14"/>
      <c r="C21" s="16">
        <f t="shared" si="2"/>
        <v>-5.0931194397490089E-2</v>
      </c>
      <c r="D21" s="17">
        <f t="shared" si="3"/>
        <v>0.13607957958006367</v>
      </c>
    </row>
    <row r="22" spans="1:4" x14ac:dyDescent="0.25">
      <c r="A22" s="14">
        <v>2011</v>
      </c>
      <c r="B22" s="14"/>
      <c r="C22" s="16">
        <f t="shared" si="2"/>
        <v>6.9374553849514504E-3</v>
      </c>
      <c r="D22" s="17">
        <f t="shared" si="3"/>
        <v>0.11365723988118609</v>
      </c>
    </row>
    <row r="23" spans="1:4" x14ac:dyDescent="0.25">
      <c r="A23" s="14">
        <v>2012</v>
      </c>
      <c r="B23" s="14"/>
      <c r="C23" s="16">
        <f t="shared" si="2"/>
        <v>-1.2196127873400984E-3</v>
      </c>
      <c r="D23" s="17">
        <f t="shared" si="3"/>
        <v>2.0296399366759452E-2</v>
      </c>
    </row>
  </sheetData>
  <mergeCells count="2">
    <mergeCell ref="A17:D17"/>
    <mergeCell ref="A2:D2"/>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10</vt:i4>
      </vt:variant>
      <vt:variant>
        <vt:lpstr>Charts</vt:lpstr>
      </vt:variant>
      <vt:variant>
        <vt:i4>1</vt:i4>
      </vt:variant>
      <vt:variant>
        <vt:lpstr>Named Ranges</vt:lpstr>
      </vt:variant>
      <vt:variant>
        <vt:i4>1</vt:i4>
      </vt:variant>
    </vt:vector>
  </HeadingPairs>
  <TitlesOfParts>
    <vt:vector size="12" baseType="lpstr">
      <vt:lpstr>Introduction</vt:lpstr>
      <vt:lpstr>Description</vt:lpstr>
      <vt:lpstr>1</vt:lpstr>
      <vt:lpstr>2</vt:lpstr>
      <vt:lpstr>4</vt:lpstr>
      <vt:lpstr>5</vt:lpstr>
      <vt:lpstr>6</vt:lpstr>
      <vt:lpstr>7</vt:lpstr>
      <vt:lpstr>8</vt:lpstr>
      <vt:lpstr>9</vt:lpstr>
      <vt:lpstr>3</vt:lpstr>
      <vt:lpstr>'1'!Print_Area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2016-04-04T06:11:33Z</cp:lastPrinted>
  <dcterms:created xsi:type="dcterms:W3CDTF">2006-09-16T00:00:00Z</dcterms:created>
  <dcterms:modified xsi:type="dcterms:W3CDTF">2019-09-11T06:56:26Z</dcterms:modified>
</cp:coreProperties>
</file>