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workbookPr defaultThemeVersion="124226"/>
  <mc:AlternateContent xmlns:mc="http://schemas.openxmlformats.org/markup-compatibility/2006">
    <mc:Choice Requires="x15">
      <x15ac:absPath xmlns:x15ac="http://schemas.microsoft.com/office/spreadsheetml/2010/11/ac" url="C:\Users\PRIYA\Desktop\Emission Estimates  Phase I&amp;II\I\3. Energy\"/>
    </mc:Choice>
  </mc:AlternateContent>
  <xr:revisionPtr revIDLastSave="0" documentId="13_ncr:1_{3C1D6110-0A05-48A2-ACA3-F39B248C22E2}" xr6:coauthVersionLast="44" xr6:coauthVersionMax="44" xr10:uidLastSave="{00000000-0000-0000-0000-000000000000}"/>
  <bookViews>
    <workbookView xWindow="-120" yWindow="-120" windowWidth="20730" windowHeight="11160" xr2:uid="{00000000-000D-0000-FFFF-FFFF00000000}"/>
  </bookViews>
  <sheets>
    <sheet name="Introduction" sheetId="10" r:id="rId1"/>
    <sheet name="Description" sheetId="7" r:id="rId2"/>
    <sheet name="Final Results" sheetId="9" r:id="rId3"/>
    <sheet name="Summary" sheetId="4" r:id="rId4"/>
    <sheet name="Raw Data" sheetId="2" r:id="rId5"/>
    <sheet name="Emission Factors" sheetId="3" r:id="rId6"/>
    <sheet name="Transport GHG Inventory" sheetId="6" r:id="rId7"/>
    <sheet name="Calculation" sheetId="8" r:id="rId8"/>
  </sheets>
  <definedNames>
    <definedName name="_xlnm._FilterDatabase" localSheetId="2" hidden="1">'Final Results'!$A$1:$N$86</definedName>
  </definedNames>
  <calcPr calcId="18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AC6" i="8" l="1"/>
  <c r="AC7" i="8"/>
  <c r="AC8" i="8"/>
  <c r="AC9" i="8"/>
  <c r="AC10" i="8"/>
  <c r="AC11" i="8"/>
  <c r="K12" i="8"/>
  <c r="T12" i="8"/>
  <c r="AC12" i="8"/>
  <c r="AC14" i="8"/>
  <c r="AC15" i="8"/>
  <c r="AC16" i="8"/>
  <c r="AC17" i="8"/>
  <c r="AC18" i="8"/>
  <c r="AC19" i="8"/>
  <c r="AC20" i="8"/>
  <c r="AC22" i="8"/>
  <c r="AC23" i="8"/>
  <c r="AC24" i="8"/>
  <c r="AC25" i="8"/>
  <c r="AC27" i="8"/>
  <c r="AC28" i="8"/>
  <c r="AC29" i="8"/>
  <c r="AC30" i="8"/>
  <c r="AC31" i="8"/>
  <c r="AC5" i="8"/>
  <c r="AX36" i="6"/>
  <c r="AX28" i="6"/>
  <c r="AX17" i="6"/>
  <c r="B11" i="4" l="1"/>
  <c r="B12" i="4"/>
  <c r="B13" i="4"/>
  <c r="B10" i="4"/>
  <c r="F31" i="4" l="1"/>
  <c r="E31" i="4"/>
  <c r="D31" i="4"/>
  <c r="C31" i="4"/>
  <c r="K26" i="4"/>
  <c r="J26" i="4"/>
  <c r="I26" i="4"/>
  <c r="H26" i="4"/>
  <c r="E22" i="4"/>
  <c r="D21" i="4"/>
  <c r="D20" i="4"/>
  <c r="D19" i="4"/>
  <c r="D18" i="4"/>
  <c r="C18" i="4"/>
  <c r="C22" i="4" s="1"/>
  <c r="K17" i="4"/>
  <c r="J17" i="4"/>
  <c r="I17" i="4"/>
  <c r="H17" i="4"/>
  <c r="D22" i="4" l="1"/>
  <c r="P93" i="2"/>
  <c r="P94" i="2"/>
  <c r="P95" i="2"/>
  <c r="P96" i="2"/>
  <c r="O97" i="2"/>
  <c r="O105" i="2"/>
  <c r="Q105" i="2"/>
  <c r="AA11" i="6" l="1"/>
  <c r="K11" i="8" s="1"/>
  <c r="M11" i="6"/>
  <c r="H16" i="2"/>
  <c r="H11" i="6" s="1"/>
  <c r="E16" i="2"/>
  <c r="E11" i="6" s="1"/>
  <c r="C16" i="2"/>
  <c r="C11" i="6" s="1"/>
  <c r="D16" i="2"/>
  <c r="D11" i="6" s="1"/>
  <c r="F16" i="2"/>
  <c r="F11" i="6" s="1"/>
  <c r="G16" i="2"/>
  <c r="G11" i="6" s="1"/>
  <c r="AM11" i="6" l="1"/>
  <c r="T11" i="8" s="1"/>
  <c r="AQ11" i="6"/>
  <c r="X11" i="8" s="1"/>
  <c r="AP11" i="8"/>
  <c r="AF11" i="6"/>
  <c r="P11" i="8" s="1"/>
  <c r="AQ11" i="8"/>
  <c r="AN11" i="6"/>
  <c r="U11" i="8" s="1"/>
  <c r="AM11" i="8"/>
  <c r="AD11" i="6"/>
  <c r="N11" i="8" s="1"/>
  <c r="AO11" i="8"/>
  <c r="AC11" i="6"/>
  <c r="M11" i="8" s="1"/>
  <c r="AN11" i="8"/>
  <c r="AG11" i="6"/>
  <c r="Q11" i="8" s="1"/>
  <c r="AR11" i="8"/>
  <c r="AP11" i="6"/>
  <c r="W11" i="8" s="1"/>
  <c r="W45" i="8" s="1"/>
  <c r="K42" i="9" s="1"/>
  <c r="AB11" i="6"/>
  <c r="L11" i="8" s="1"/>
  <c r="N11" i="6"/>
  <c r="AS11" i="6"/>
  <c r="Z11" i="8" s="1"/>
  <c r="AO11" i="6"/>
  <c r="V11" i="8" s="1"/>
  <c r="AR11" i="6"/>
  <c r="Y11" i="8" s="1"/>
  <c r="Q11" i="6"/>
  <c r="AE11" i="6"/>
  <c r="O11" i="8" s="1"/>
  <c r="P11" i="6"/>
  <c r="S11" i="6"/>
  <c r="O11" i="6"/>
  <c r="D11" i="8" s="1"/>
  <c r="R11" i="6"/>
  <c r="I16" i="2"/>
  <c r="I11" i="6" s="1"/>
  <c r="AS11" i="8" s="1"/>
  <c r="C100" i="2"/>
  <c r="D100" i="2" s="1"/>
  <c r="K100" i="2" s="1"/>
  <c r="C99" i="2"/>
  <c r="D99" i="2" s="1"/>
  <c r="H71" i="2" s="1"/>
  <c r="H10" i="6" s="1"/>
  <c r="D98" i="2"/>
  <c r="E98" i="2" s="1"/>
  <c r="C97" i="2"/>
  <c r="D97" i="2" s="1"/>
  <c r="E97" i="2" s="1"/>
  <c r="C96" i="2"/>
  <c r="D96" i="2" s="1"/>
  <c r="AO45" i="8" l="1"/>
  <c r="O45" i="8"/>
  <c r="L25" i="9" s="1"/>
  <c r="X45" i="8"/>
  <c r="L42" i="9" s="1"/>
  <c r="AZ11" i="6"/>
  <c r="AF11" i="8" s="1"/>
  <c r="E11" i="8"/>
  <c r="D45" i="8" s="1"/>
  <c r="J8" i="9" s="1"/>
  <c r="M45" i="8"/>
  <c r="J25" i="9" s="1"/>
  <c r="BC11" i="6"/>
  <c r="AI11" i="8" s="1"/>
  <c r="H11" i="8"/>
  <c r="Y45" i="8"/>
  <c r="M42" i="9" s="1"/>
  <c r="L45" i="8"/>
  <c r="I25" i="9" s="1"/>
  <c r="AN45" i="8"/>
  <c r="AM45" i="8"/>
  <c r="AP45" i="8"/>
  <c r="V45" i="8"/>
  <c r="J42" i="9" s="1"/>
  <c r="S10" i="6"/>
  <c r="H10" i="8" s="1"/>
  <c r="AR10" i="8"/>
  <c r="BA11" i="6"/>
  <c r="AG11" i="8" s="1"/>
  <c r="F11" i="8"/>
  <c r="AX11" i="6"/>
  <c r="AD11" i="8" s="1"/>
  <c r="C11" i="8"/>
  <c r="C45" i="8" s="1"/>
  <c r="I8" i="9" s="1"/>
  <c r="N45" i="8"/>
  <c r="K25" i="9" s="1"/>
  <c r="P45" i="8"/>
  <c r="M25" i="9" s="1"/>
  <c r="BB11" i="6"/>
  <c r="AH11" i="8" s="1"/>
  <c r="G11" i="8"/>
  <c r="U45" i="8"/>
  <c r="I42" i="9" s="1"/>
  <c r="AR45" i="8"/>
  <c r="AQ45" i="8"/>
  <c r="AY11" i="6"/>
  <c r="AE11" i="8" s="1"/>
  <c r="I71" i="2"/>
  <c r="I10" i="6" s="1"/>
  <c r="T10" i="6" s="1"/>
  <c r="I10" i="8" s="1"/>
  <c r="AH11" i="6"/>
  <c r="R11" i="8" s="1"/>
  <c r="Q45" i="8" s="1"/>
  <c r="N25" i="9" s="1"/>
  <c r="AT11" i="6"/>
  <c r="AA11" i="8" s="1"/>
  <c r="Z45" i="8" s="1"/>
  <c r="N42" i="9" s="1"/>
  <c r="G71" i="2"/>
  <c r="G10" i="6" s="1"/>
  <c r="T11" i="6"/>
  <c r="I11" i="8" s="1"/>
  <c r="E96" i="2"/>
  <c r="E71" i="2"/>
  <c r="E10" i="6" s="1"/>
  <c r="K97" i="2"/>
  <c r="K99" i="2"/>
  <c r="F71" i="2"/>
  <c r="F10" i="6" s="1"/>
  <c r="AG10" i="6"/>
  <c r="AS10" i="6"/>
  <c r="Z10" i="8" s="1"/>
  <c r="H98" i="2"/>
  <c r="K98" i="2"/>
  <c r="K96" i="2"/>
  <c r="H99" i="2"/>
  <c r="E99" i="2"/>
  <c r="F102" i="2"/>
  <c r="D95" i="2" s="1"/>
  <c r="D71" i="2" s="1"/>
  <c r="D10" i="6" s="1"/>
  <c r="H100" i="2"/>
  <c r="U67" i="6"/>
  <c r="O68" i="6"/>
  <c r="R68" i="6" s="1"/>
  <c r="O69" i="6"/>
  <c r="R69" i="6" s="1"/>
  <c r="O70" i="6"/>
  <c r="O67" i="6"/>
  <c r="R67" i="6" s="1"/>
  <c r="C5" i="6"/>
  <c r="AM5" i="8" s="1"/>
  <c r="G45" i="8" l="1"/>
  <c r="M8" i="9" s="1"/>
  <c r="M76" i="9" s="1"/>
  <c r="J76" i="9"/>
  <c r="AF45" i="8"/>
  <c r="K59" i="9" s="1"/>
  <c r="AH10" i="6"/>
  <c r="R10" i="8" s="1"/>
  <c r="I76" i="9"/>
  <c r="BC10" i="6"/>
  <c r="AI10" i="8" s="1"/>
  <c r="Q10" i="8"/>
  <c r="AT10" i="6"/>
  <c r="AA10" i="8" s="1"/>
  <c r="Z44" i="8" s="1"/>
  <c r="N41" i="9" s="1"/>
  <c r="AS10" i="8"/>
  <c r="AR44" i="8" s="1"/>
  <c r="H45" i="8"/>
  <c r="N8" i="9" s="1"/>
  <c r="N76" i="9" s="1"/>
  <c r="AH45" i="8"/>
  <c r="M59" i="9" s="1"/>
  <c r="AG45" i="8"/>
  <c r="L59" i="9" s="1"/>
  <c r="H44" i="8"/>
  <c r="N7" i="9" s="1"/>
  <c r="E45" i="8"/>
  <c r="K8" i="9" s="1"/>
  <c r="K76" i="9" s="1"/>
  <c r="O10" i="6"/>
  <c r="D10" i="8" s="1"/>
  <c r="AN10" i="8"/>
  <c r="AE45" i="8"/>
  <c r="J59" i="9" s="1"/>
  <c r="AQ10" i="6"/>
  <c r="X10" i="8" s="1"/>
  <c r="AP10" i="8"/>
  <c r="F45" i="8"/>
  <c r="L8" i="9" s="1"/>
  <c r="L76" i="9" s="1"/>
  <c r="AR10" i="6"/>
  <c r="Y10" i="8" s="1"/>
  <c r="AQ10" i="8"/>
  <c r="AQ44" i="8" s="1"/>
  <c r="AP10" i="6"/>
  <c r="W10" i="8" s="1"/>
  <c r="AO10" i="8"/>
  <c r="AD45" i="8"/>
  <c r="I59" i="9" s="1"/>
  <c r="BD11" i="6"/>
  <c r="AJ11" i="8" s="1"/>
  <c r="AI45" i="8" s="1"/>
  <c r="N59" i="9" s="1"/>
  <c r="AF10" i="6"/>
  <c r="P10" i="8" s="1"/>
  <c r="R10" i="6"/>
  <c r="AD10" i="6"/>
  <c r="N10" i="8" s="1"/>
  <c r="Q10" i="6"/>
  <c r="F10" i="8" s="1"/>
  <c r="S68" i="6"/>
  <c r="AE10" i="6"/>
  <c r="O10" i="8" s="1"/>
  <c r="AC10" i="6"/>
  <c r="M10" i="8" s="1"/>
  <c r="AO10" i="6"/>
  <c r="V10" i="8" s="1"/>
  <c r="P10" i="6"/>
  <c r="K95" i="2"/>
  <c r="D94" i="2"/>
  <c r="E94" i="2" s="1"/>
  <c r="E95" i="2"/>
  <c r="N5" i="6"/>
  <c r="AN5" i="6"/>
  <c r="U5" i="8" s="1"/>
  <c r="AB5" i="6"/>
  <c r="L5" i="8" s="1"/>
  <c r="AA40" i="6"/>
  <c r="AA31" i="6"/>
  <c r="AA23" i="6"/>
  <c r="N71" i="6"/>
  <c r="M44" i="8" l="1"/>
  <c r="J24" i="9" s="1"/>
  <c r="V44" i="8"/>
  <c r="J41" i="9" s="1"/>
  <c r="W44" i="8"/>
  <c r="K41" i="9" s="1"/>
  <c r="BD10" i="6"/>
  <c r="AJ10" i="8" s="1"/>
  <c r="AI44" i="8" s="1"/>
  <c r="N58" i="9" s="1"/>
  <c r="Q44" i="8"/>
  <c r="N24" i="9" s="1"/>
  <c r="N75" i="9" s="1"/>
  <c r="O44" i="8"/>
  <c r="L24" i="9" s="1"/>
  <c r="AP44" i="8"/>
  <c r="AM23" i="6"/>
  <c r="T20" i="8" s="1"/>
  <c r="K20" i="8"/>
  <c r="AY10" i="6"/>
  <c r="AE10" i="8" s="1"/>
  <c r="AM40" i="6"/>
  <c r="T31" i="8" s="1"/>
  <c r="K31" i="8"/>
  <c r="AM31" i="6"/>
  <c r="T25" i="8" s="1"/>
  <c r="K25" i="8"/>
  <c r="AN44" i="8"/>
  <c r="Y44" i="8"/>
  <c r="M41" i="9" s="1"/>
  <c r="N44" i="8"/>
  <c r="K24" i="9" s="1"/>
  <c r="AX5" i="6"/>
  <c r="AD5" i="8" s="1"/>
  <c r="C5" i="8"/>
  <c r="BB10" i="6"/>
  <c r="AH10" i="8" s="1"/>
  <c r="G10" i="8"/>
  <c r="F44" i="8" s="1"/>
  <c r="L7" i="9" s="1"/>
  <c r="AO44" i="8"/>
  <c r="AZ10" i="6"/>
  <c r="AF10" i="8" s="1"/>
  <c r="E10" i="8"/>
  <c r="E44" i="8" s="1"/>
  <c r="K7" i="9" s="1"/>
  <c r="P44" i="8"/>
  <c r="M24" i="9" s="1"/>
  <c r="X44" i="8"/>
  <c r="L41" i="9" s="1"/>
  <c r="BA10" i="6"/>
  <c r="AG10" i="8" s="1"/>
  <c r="K94" i="2"/>
  <c r="C71" i="2"/>
  <c r="C10" i="6" s="1"/>
  <c r="AM10" i="8" s="1"/>
  <c r="AM44" i="8" s="1"/>
  <c r="M36" i="6"/>
  <c r="AA36" i="6" s="1"/>
  <c r="M28" i="6"/>
  <c r="AA28" i="6" s="1"/>
  <c r="M17" i="6"/>
  <c r="AA17" i="6" s="1"/>
  <c r="M4" i="6"/>
  <c r="AA4" i="6" s="1"/>
  <c r="AM4" i="6" s="1"/>
  <c r="D44" i="8" l="1"/>
  <c r="J7" i="9" s="1"/>
  <c r="J75" i="9" s="1"/>
  <c r="K75" i="9"/>
  <c r="AG44" i="8"/>
  <c r="L58" i="9" s="1"/>
  <c r="AM36" i="6"/>
  <c r="K27" i="8"/>
  <c r="AF44" i="8"/>
  <c r="K58" i="9" s="1"/>
  <c r="AM17" i="6"/>
  <c r="K14" i="8"/>
  <c r="AM28" i="6"/>
  <c r="K22" i="8"/>
  <c r="AH44" i="8"/>
  <c r="M58" i="9" s="1"/>
  <c r="AE44" i="8"/>
  <c r="J58" i="9" s="1"/>
  <c r="L75" i="9"/>
  <c r="G44" i="8"/>
  <c r="M7" i="9" s="1"/>
  <c r="M75" i="9" s="1"/>
  <c r="AN10" i="6"/>
  <c r="U10" i="8" s="1"/>
  <c r="AB10" i="6"/>
  <c r="L10" i="8" s="1"/>
  <c r="N10" i="6"/>
  <c r="AY36" i="6" l="1"/>
  <c r="T27" i="8"/>
  <c r="T14" i="8"/>
  <c r="AY17" i="6"/>
  <c r="AY28" i="6"/>
  <c r="T22" i="8"/>
  <c r="L44" i="8"/>
  <c r="I24" i="9" s="1"/>
  <c r="AX10" i="6"/>
  <c r="AD10" i="8" s="1"/>
  <c r="C10" i="8"/>
  <c r="U44" i="8"/>
  <c r="I41" i="9" s="1"/>
  <c r="D39" i="6"/>
  <c r="AN30" i="8" s="1"/>
  <c r="E39" i="6"/>
  <c r="AO30" i="8" s="1"/>
  <c r="F39" i="6"/>
  <c r="AP30" i="8" s="1"/>
  <c r="G39" i="6"/>
  <c r="AQ30" i="8" s="1"/>
  <c r="H39" i="6"/>
  <c r="AR30" i="8" s="1"/>
  <c r="I39" i="6"/>
  <c r="AS30" i="8" s="1"/>
  <c r="D38" i="6"/>
  <c r="AN29" i="8" s="1"/>
  <c r="E38" i="6"/>
  <c r="AO29" i="8" s="1"/>
  <c r="F38" i="6"/>
  <c r="AP29" i="8" s="1"/>
  <c r="G38" i="6"/>
  <c r="AQ29" i="8" s="1"/>
  <c r="H38" i="6"/>
  <c r="AR29" i="8" s="1"/>
  <c r="I38" i="6"/>
  <c r="AS29" i="8" s="1"/>
  <c r="D37" i="6"/>
  <c r="AN28" i="8" s="1"/>
  <c r="E37" i="6"/>
  <c r="AO28" i="8" s="1"/>
  <c r="F37" i="6"/>
  <c r="AP28" i="8" s="1"/>
  <c r="G37" i="6"/>
  <c r="AQ28" i="8" s="1"/>
  <c r="H37" i="6"/>
  <c r="AR28" i="8" s="1"/>
  <c r="I37" i="6"/>
  <c r="AS28" i="8" s="1"/>
  <c r="D30" i="6"/>
  <c r="AN24" i="8" s="1"/>
  <c r="E30" i="6"/>
  <c r="AO24" i="8" s="1"/>
  <c r="F30" i="6"/>
  <c r="AP24" i="8" s="1"/>
  <c r="G30" i="6"/>
  <c r="AQ24" i="8" s="1"/>
  <c r="H30" i="6"/>
  <c r="AR24" i="8" s="1"/>
  <c r="I30" i="6"/>
  <c r="AS24" i="8" s="1"/>
  <c r="D29" i="6"/>
  <c r="AN23" i="8" s="1"/>
  <c r="E29" i="6"/>
  <c r="AO23" i="8" s="1"/>
  <c r="F29" i="6"/>
  <c r="AP23" i="8" s="1"/>
  <c r="G29" i="6"/>
  <c r="AQ23" i="8" s="1"/>
  <c r="H29" i="6"/>
  <c r="AR23" i="8" s="1"/>
  <c r="I29" i="6"/>
  <c r="AS23" i="8" s="1"/>
  <c r="C29" i="6"/>
  <c r="AM23" i="8" s="1"/>
  <c r="D22" i="6"/>
  <c r="E22" i="6"/>
  <c r="F22" i="6"/>
  <c r="G22" i="6"/>
  <c r="H22" i="6"/>
  <c r="I22" i="6"/>
  <c r="C22" i="6"/>
  <c r="D21" i="6"/>
  <c r="AN18" i="8" s="1"/>
  <c r="E21" i="6"/>
  <c r="AO18" i="8" s="1"/>
  <c r="F21" i="6"/>
  <c r="AP18" i="8" s="1"/>
  <c r="G21" i="6"/>
  <c r="AQ18" i="8" s="1"/>
  <c r="H21" i="6"/>
  <c r="AR18" i="8" s="1"/>
  <c r="I21" i="6"/>
  <c r="AS18" i="8" s="1"/>
  <c r="D20" i="6"/>
  <c r="AN17" i="8" s="1"/>
  <c r="E20" i="6"/>
  <c r="AO17" i="8" s="1"/>
  <c r="F20" i="6"/>
  <c r="AP17" i="8" s="1"/>
  <c r="G20" i="6"/>
  <c r="AQ17" i="8" s="1"/>
  <c r="H20" i="6"/>
  <c r="AR17" i="8" s="1"/>
  <c r="I20" i="6"/>
  <c r="AS17" i="8" s="1"/>
  <c r="D19" i="6"/>
  <c r="AN16" i="8" s="1"/>
  <c r="E19" i="6"/>
  <c r="AO16" i="8" s="1"/>
  <c r="F19" i="6"/>
  <c r="AP16" i="8" s="1"/>
  <c r="G19" i="6"/>
  <c r="AQ16" i="8" s="1"/>
  <c r="H19" i="6"/>
  <c r="AR16" i="8" s="1"/>
  <c r="I19" i="6"/>
  <c r="AS16" i="8" s="1"/>
  <c r="D18" i="6"/>
  <c r="AN15" i="8" s="1"/>
  <c r="E18" i="6"/>
  <c r="AO15" i="8" s="1"/>
  <c r="F18" i="6"/>
  <c r="AP15" i="8" s="1"/>
  <c r="G18" i="6"/>
  <c r="AQ15" i="8" s="1"/>
  <c r="H18" i="6"/>
  <c r="AR15" i="8" s="1"/>
  <c r="I18" i="6"/>
  <c r="AS15" i="8" s="1"/>
  <c r="D9" i="6"/>
  <c r="AN9" i="8" s="1"/>
  <c r="E9" i="6"/>
  <c r="AO9" i="8" s="1"/>
  <c r="F9" i="6"/>
  <c r="AP9" i="8" s="1"/>
  <c r="G9" i="6"/>
  <c r="AQ9" i="8" s="1"/>
  <c r="H9" i="6"/>
  <c r="AR9" i="8" s="1"/>
  <c r="I9" i="6"/>
  <c r="AS9" i="8" s="1"/>
  <c r="D8" i="6"/>
  <c r="E8" i="6"/>
  <c r="AO8" i="8" s="1"/>
  <c r="F8" i="6"/>
  <c r="AP8" i="8" s="1"/>
  <c r="G8" i="6"/>
  <c r="AQ8" i="8" s="1"/>
  <c r="H8" i="6"/>
  <c r="AR8" i="8" s="1"/>
  <c r="I8" i="6"/>
  <c r="AS8" i="8" s="1"/>
  <c r="D7" i="6"/>
  <c r="AN7" i="8" s="1"/>
  <c r="E7" i="6"/>
  <c r="AO7" i="8" s="1"/>
  <c r="F7" i="6"/>
  <c r="AP7" i="8" s="1"/>
  <c r="G7" i="6"/>
  <c r="AQ7" i="8" s="1"/>
  <c r="H7" i="6"/>
  <c r="AR7" i="8" s="1"/>
  <c r="I7" i="6"/>
  <c r="AS7" i="8" s="1"/>
  <c r="D6" i="6"/>
  <c r="AN6" i="8" s="1"/>
  <c r="E6" i="6"/>
  <c r="AO6" i="8" s="1"/>
  <c r="F6" i="6"/>
  <c r="AP6" i="8" s="1"/>
  <c r="G6" i="6"/>
  <c r="AQ6" i="8" s="1"/>
  <c r="H6" i="6"/>
  <c r="AR6" i="8" s="1"/>
  <c r="I6" i="6"/>
  <c r="AS6" i="8" s="1"/>
  <c r="D5" i="6"/>
  <c r="AN5" i="8" s="1"/>
  <c r="E5" i="6"/>
  <c r="AO5" i="8" s="1"/>
  <c r="F5" i="6"/>
  <c r="AP5" i="8" s="1"/>
  <c r="G5" i="6"/>
  <c r="AQ5" i="8" s="1"/>
  <c r="H5" i="6"/>
  <c r="AR5" i="8" s="1"/>
  <c r="I5" i="6"/>
  <c r="AS5" i="8" s="1"/>
  <c r="B39" i="6"/>
  <c r="M39" i="6" s="1"/>
  <c r="AA39" i="6" s="1"/>
  <c r="B38" i="6"/>
  <c r="M38" i="6" s="1"/>
  <c r="AA38" i="6" s="1"/>
  <c r="B30" i="6"/>
  <c r="M30" i="6" s="1"/>
  <c r="AA30" i="6" s="1"/>
  <c r="B37" i="6"/>
  <c r="M37" i="6" s="1"/>
  <c r="AA37" i="6" s="1"/>
  <c r="B29" i="6"/>
  <c r="M29" i="6" s="1"/>
  <c r="AA29" i="6" s="1"/>
  <c r="B22" i="6"/>
  <c r="M22" i="6" s="1"/>
  <c r="AA22" i="6" s="1"/>
  <c r="B21" i="6"/>
  <c r="M21" i="6" s="1"/>
  <c r="AA21" i="6" s="1"/>
  <c r="B20" i="6"/>
  <c r="M20" i="6" s="1"/>
  <c r="AA20" i="6" s="1"/>
  <c r="B19" i="6"/>
  <c r="M19" i="6" s="1"/>
  <c r="AA19" i="6" s="1"/>
  <c r="B18" i="6"/>
  <c r="M18" i="6" s="1"/>
  <c r="AA18" i="6" s="1"/>
  <c r="D4" i="6"/>
  <c r="D17" i="6" s="1"/>
  <c r="O17" i="6" s="1"/>
  <c r="E4" i="6"/>
  <c r="E28" i="6" s="1"/>
  <c r="P28" i="6" s="1"/>
  <c r="F4" i="6"/>
  <c r="F36" i="6" s="1"/>
  <c r="Q36" i="6" s="1"/>
  <c r="G4" i="6"/>
  <c r="G28" i="6" s="1"/>
  <c r="R28" i="6" s="1"/>
  <c r="H4" i="6"/>
  <c r="H17" i="6" s="1"/>
  <c r="S17" i="6" s="1"/>
  <c r="I4" i="6"/>
  <c r="I28" i="6" s="1"/>
  <c r="T28" i="6" s="1"/>
  <c r="C4" i="6"/>
  <c r="C36" i="6" s="1"/>
  <c r="N36" i="6" s="1"/>
  <c r="B10" i="6"/>
  <c r="M10" i="6" s="1"/>
  <c r="AA10" i="6" s="1"/>
  <c r="B9" i="6"/>
  <c r="M9" i="6" s="1"/>
  <c r="AA9" i="6" s="1"/>
  <c r="B8" i="6"/>
  <c r="M8" i="6" s="1"/>
  <c r="AA8" i="6" s="1"/>
  <c r="B7" i="6"/>
  <c r="M7" i="6" s="1"/>
  <c r="AA7" i="6" s="1"/>
  <c r="B5" i="6"/>
  <c r="M5" i="6" s="1"/>
  <c r="AA5" i="6" s="1"/>
  <c r="B6" i="6"/>
  <c r="M6" i="6" s="1"/>
  <c r="AA6" i="6" s="1"/>
  <c r="AR40" i="8" l="1"/>
  <c r="AP43" i="8"/>
  <c r="AR51" i="8"/>
  <c r="AP52" i="8"/>
  <c r="AP63" i="8"/>
  <c r="AN64" i="8"/>
  <c r="AS12" i="8"/>
  <c r="AO12" i="8"/>
  <c r="AQ25" i="8"/>
  <c r="AQ31" i="8"/>
  <c r="AN40" i="8"/>
  <c r="AP50" i="8"/>
  <c r="AN51" i="8"/>
  <c r="AP58" i="8"/>
  <c r="AR49" i="8"/>
  <c r="AR41" i="8"/>
  <c r="AN41" i="8"/>
  <c r="AR43" i="8"/>
  <c r="AP49" i="8"/>
  <c r="AR50" i="8"/>
  <c r="AP51" i="8"/>
  <c r="AN52" i="8"/>
  <c r="AP57" i="8"/>
  <c r="AP25" i="8"/>
  <c r="AP59" i="8" s="1"/>
  <c r="AR58" i="8"/>
  <c r="AP31" i="8"/>
  <c r="AP65" i="8" s="1"/>
  <c r="AQ12" i="8"/>
  <c r="AS25" i="8"/>
  <c r="AO25" i="8"/>
  <c r="AS31" i="8"/>
  <c r="AO31" i="8"/>
  <c r="AN49" i="8"/>
  <c r="AR57" i="8"/>
  <c r="AR25" i="8"/>
  <c r="AQ59" i="8" s="1"/>
  <c r="AN57" i="8"/>
  <c r="AN25" i="8"/>
  <c r="AN59" i="8" s="1"/>
  <c r="AR62" i="8"/>
  <c r="AR31" i="8"/>
  <c r="AR65" i="8" s="1"/>
  <c r="AN62" i="8"/>
  <c r="AN31" i="8"/>
  <c r="AP39" i="8"/>
  <c r="AP12" i="8"/>
  <c r="AR39" i="8"/>
  <c r="AR12" i="8"/>
  <c r="AP40" i="8"/>
  <c r="AP42" i="8"/>
  <c r="AN43" i="8"/>
  <c r="AN50" i="8"/>
  <c r="AR52" i="8"/>
  <c r="AN58" i="8"/>
  <c r="AM57" i="8"/>
  <c r="AP62" i="8"/>
  <c r="AR63" i="8"/>
  <c r="AN63" i="8"/>
  <c r="AP64" i="8"/>
  <c r="AG17" i="6"/>
  <c r="H14" i="8"/>
  <c r="AM30" i="6"/>
  <c r="T24" i="8" s="1"/>
  <c r="K24" i="8"/>
  <c r="AM8" i="6"/>
  <c r="T8" i="8" s="1"/>
  <c r="K8" i="8"/>
  <c r="AH28" i="6"/>
  <c r="I22" i="8"/>
  <c r="AD28" i="6"/>
  <c r="E22" i="8"/>
  <c r="AM20" i="6"/>
  <c r="T17" i="8" s="1"/>
  <c r="K17" i="8"/>
  <c r="AM37" i="6"/>
  <c r="T28" i="8" s="1"/>
  <c r="K28" i="8"/>
  <c r="AO39" i="8"/>
  <c r="AQ40" i="8"/>
  <c r="AO41" i="8"/>
  <c r="AQ42" i="8"/>
  <c r="AO43" i="8"/>
  <c r="AQ49" i="8"/>
  <c r="AO50" i="8"/>
  <c r="AQ51" i="8"/>
  <c r="AO52" i="8"/>
  <c r="AQ57" i="8"/>
  <c r="AO58" i="8"/>
  <c r="AQ62" i="8"/>
  <c r="AO63" i="8"/>
  <c r="AQ64" i="8"/>
  <c r="AM6" i="6"/>
  <c r="T6" i="8" s="1"/>
  <c r="K6" i="8"/>
  <c r="AC17" i="6"/>
  <c r="D14" i="8"/>
  <c r="AM7" i="6"/>
  <c r="T7" i="8" s="1"/>
  <c r="K7" i="8"/>
  <c r="AB36" i="6"/>
  <c r="C27" i="8"/>
  <c r="AE36" i="6"/>
  <c r="F27" i="8"/>
  <c r="AM19" i="6"/>
  <c r="T16" i="8" s="1"/>
  <c r="K16" i="8"/>
  <c r="AM29" i="6"/>
  <c r="T23" i="8" s="1"/>
  <c r="K23" i="8"/>
  <c r="AM39" i="6"/>
  <c r="T30" i="8" s="1"/>
  <c r="K30" i="8"/>
  <c r="AC8" i="6"/>
  <c r="M8" i="8" s="1"/>
  <c r="AN8" i="8"/>
  <c r="AN42" i="8" s="1"/>
  <c r="AD44" i="8"/>
  <c r="I58" i="9" s="1"/>
  <c r="AP41" i="8"/>
  <c r="AR42" i="8"/>
  <c r="AR64" i="8"/>
  <c r="AM9" i="6"/>
  <c r="T9" i="8" s="1"/>
  <c r="K9" i="8"/>
  <c r="AM21" i="6"/>
  <c r="T18" i="8" s="1"/>
  <c r="K18" i="8"/>
  <c r="AN39" i="8"/>
  <c r="AM39" i="8"/>
  <c r="AM5" i="6"/>
  <c r="T5" i="8" s="1"/>
  <c r="K5" i="8"/>
  <c r="AM10" i="6"/>
  <c r="T10" i="8" s="1"/>
  <c r="K10" i="8"/>
  <c r="AF28" i="6"/>
  <c r="G22" i="8"/>
  <c r="AM18" i="6"/>
  <c r="T15" i="8" s="1"/>
  <c r="K15" i="8"/>
  <c r="AM22" i="6"/>
  <c r="T19" i="8" s="1"/>
  <c r="K19" i="8"/>
  <c r="AM38" i="6"/>
  <c r="T29" i="8" s="1"/>
  <c r="K29" i="8"/>
  <c r="C44" i="8"/>
  <c r="I7" i="9" s="1"/>
  <c r="I75" i="9" s="1"/>
  <c r="AQ39" i="8"/>
  <c r="AO40" i="8"/>
  <c r="AQ41" i="8"/>
  <c r="AO42" i="8"/>
  <c r="AQ43" i="8"/>
  <c r="AO49" i="8"/>
  <c r="AQ50" i="8"/>
  <c r="AO51" i="8"/>
  <c r="AQ52" i="8"/>
  <c r="AO57" i="8"/>
  <c r="AQ58" i="8"/>
  <c r="AO62" i="8"/>
  <c r="AQ63" i="8"/>
  <c r="AO64" i="8"/>
  <c r="AF5" i="6"/>
  <c r="P5" i="8" s="1"/>
  <c r="AR5" i="6"/>
  <c r="Y5" i="8" s="1"/>
  <c r="AE6" i="6"/>
  <c r="O6" i="8" s="1"/>
  <c r="AQ6" i="6"/>
  <c r="X6" i="8" s="1"/>
  <c r="AH7" i="6"/>
  <c r="R7" i="8" s="1"/>
  <c r="AT7" i="6"/>
  <c r="AA7" i="8" s="1"/>
  <c r="AD7" i="6"/>
  <c r="N7" i="8" s="1"/>
  <c r="AP7" i="6"/>
  <c r="W7" i="8" s="1"/>
  <c r="AS8" i="6"/>
  <c r="Z8" i="8" s="1"/>
  <c r="AG8" i="6"/>
  <c r="Q8" i="8" s="1"/>
  <c r="AO8" i="6"/>
  <c r="V8" i="8" s="1"/>
  <c r="AR9" i="6"/>
  <c r="Y9" i="8" s="1"/>
  <c r="AF9" i="6"/>
  <c r="P9" i="8" s="1"/>
  <c r="AT18" i="6"/>
  <c r="AA15" i="8" s="1"/>
  <c r="AH18" i="6"/>
  <c r="R15" i="8" s="1"/>
  <c r="AP18" i="6"/>
  <c r="W15" i="8" s="1"/>
  <c r="AD18" i="6"/>
  <c r="N15" i="8" s="1"/>
  <c r="AS19" i="6"/>
  <c r="Z16" i="8" s="1"/>
  <c r="AG19" i="6"/>
  <c r="Q16" i="8" s="1"/>
  <c r="AO19" i="6"/>
  <c r="V16" i="8" s="1"/>
  <c r="AC19" i="6"/>
  <c r="M16" i="8" s="1"/>
  <c r="AQ20" i="6"/>
  <c r="X17" i="8" s="1"/>
  <c r="AE20" i="6"/>
  <c r="O17" i="8" s="1"/>
  <c r="AT21" i="6"/>
  <c r="AA18" i="8" s="1"/>
  <c r="AH21" i="6"/>
  <c r="R18" i="8" s="1"/>
  <c r="AP21" i="6"/>
  <c r="W18" i="8" s="1"/>
  <c r="AD21" i="6"/>
  <c r="N18" i="8" s="1"/>
  <c r="AS22" i="6"/>
  <c r="Z19" i="8" s="1"/>
  <c r="AG22" i="6"/>
  <c r="Q19" i="8" s="1"/>
  <c r="AO22" i="6"/>
  <c r="V19" i="8" s="1"/>
  <c r="AC22" i="6"/>
  <c r="M19" i="8" s="1"/>
  <c r="R29" i="6"/>
  <c r="G23" i="8" s="1"/>
  <c r="AR29" i="6"/>
  <c r="Y23" i="8" s="1"/>
  <c r="AF29" i="6"/>
  <c r="P23" i="8" s="1"/>
  <c r="Q30" i="6"/>
  <c r="F24" i="8" s="1"/>
  <c r="AQ30" i="6"/>
  <c r="X24" i="8" s="1"/>
  <c r="AE30" i="6"/>
  <c r="O24" i="8" s="1"/>
  <c r="T37" i="6"/>
  <c r="I28" i="8" s="1"/>
  <c r="AT37" i="6"/>
  <c r="AA28" i="8" s="1"/>
  <c r="AH37" i="6"/>
  <c r="R28" i="8" s="1"/>
  <c r="P37" i="6"/>
  <c r="AP37" i="6"/>
  <c r="W28" i="8" s="1"/>
  <c r="AD37" i="6"/>
  <c r="N28" i="8" s="1"/>
  <c r="S38" i="6"/>
  <c r="H29" i="8" s="1"/>
  <c r="AS38" i="6"/>
  <c r="Z29" i="8" s="1"/>
  <c r="AG38" i="6"/>
  <c r="Q29" i="8" s="1"/>
  <c r="O38" i="6"/>
  <c r="D29" i="8" s="1"/>
  <c r="AO38" i="6"/>
  <c r="V29" i="8" s="1"/>
  <c r="AC38" i="6"/>
  <c r="M29" i="8" s="1"/>
  <c r="R39" i="6"/>
  <c r="G30" i="8" s="1"/>
  <c r="AR39" i="6"/>
  <c r="Y30" i="8" s="1"/>
  <c r="AF39" i="6"/>
  <c r="P30" i="8" s="1"/>
  <c r="AQ5" i="6"/>
  <c r="X5" i="8" s="1"/>
  <c r="AE5" i="6"/>
  <c r="O5" i="8" s="1"/>
  <c r="AT6" i="6"/>
  <c r="AA6" i="8" s="1"/>
  <c r="AH6" i="6"/>
  <c r="R6" i="8" s="1"/>
  <c r="AP6" i="6"/>
  <c r="W6" i="8" s="1"/>
  <c r="AD6" i="6"/>
  <c r="N6" i="8" s="1"/>
  <c r="AS7" i="6"/>
  <c r="Z7" i="8" s="1"/>
  <c r="AG7" i="6"/>
  <c r="Q7" i="8" s="1"/>
  <c r="AO7" i="6"/>
  <c r="V7" i="8" s="1"/>
  <c r="AC7" i="6"/>
  <c r="M7" i="8" s="1"/>
  <c r="AR8" i="6"/>
  <c r="Y8" i="8" s="1"/>
  <c r="AF8" i="6"/>
  <c r="P8" i="8" s="1"/>
  <c r="AQ9" i="6"/>
  <c r="X9" i="8" s="1"/>
  <c r="AE9" i="6"/>
  <c r="O9" i="8" s="1"/>
  <c r="AS18" i="6"/>
  <c r="Z15" i="8" s="1"/>
  <c r="AG18" i="6"/>
  <c r="Q15" i="8" s="1"/>
  <c r="AO18" i="6"/>
  <c r="V15" i="8" s="1"/>
  <c r="AC18" i="6"/>
  <c r="M15" i="8" s="1"/>
  <c r="AR19" i="6"/>
  <c r="Y16" i="8" s="1"/>
  <c r="AF19" i="6"/>
  <c r="P16" i="8" s="1"/>
  <c r="AT20" i="6"/>
  <c r="AA17" i="8" s="1"/>
  <c r="AH20" i="6"/>
  <c r="R17" i="8" s="1"/>
  <c r="AP20" i="6"/>
  <c r="W17" i="8" s="1"/>
  <c r="AD20" i="6"/>
  <c r="N17" i="8" s="1"/>
  <c r="AS21" i="6"/>
  <c r="Z18" i="8" s="1"/>
  <c r="AG21" i="6"/>
  <c r="Q18" i="8" s="1"/>
  <c r="AO21" i="6"/>
  <c r="V18" i="8" s="1"/>
  <c r="V52" i="8" s="1"/>
  <c r="J46" i="9" s="1"/>
  <c r="AC21" i="6"/>
  <c r="M18" i="8" s="1"/>
  <c r="AR22" i="6"/>
  <c r="Y19" i="8" s="1"/>
  <c r="AF22" i="6"/>
  <c r="P19" i="8" s="1"/>
  <c r="S69" i="6"/>
  <c r="AN29" i="6"/>
  <c r="U23" i="8" s="1"/>
  <c r="AB29" i="6"/>
  <c r="L23" i="8" s="1"/>
  <c r="Q29" i="6"/>
  <c r="F23" i="8" s="1"/>
  <c r="AQ29" i="6"/>
  <c r="X23" i="8" s="1"/>
  <c r="AE29" i="6"/>
  <c r="O23" i="8" s="1"/>
  <c r="T30" i="6"/>
  <c r="AT30" i="6"/>
  <c r="AA24" i="8" s="1"/>
  <c r="AH30" i="6"/>
  <c r="R24" i="8" s="1"/>
  <c r="P30" i="6"/>
  <c r="E24" i="8" s="1"/>
  <c r="AP30" i="6"/>
  <c r="W24" i="8" s="1"/>
  <c r="AD30" i="6"/>
  <c r="N24" i="8" s="1"/>
  <c r="S37" i="6"/>
  <c r="H28" i="8" s="1"/>
  <c r="AS37" i="6"/>
  <c r="Z28" i="8" s="1"/>
  <c r="AG37" i="6"/>
  <c r="Q28" i="8" s="1"/>
  <c r="O37" i="6"/>
  <c r="D28" i="8" s="1"/>
  <c r="AO37" i="6"/>
  <c r="V28" i="8" s="1"/>
  <c r="V62" i="8" s="1"/>
  <c r="J50" i="9" s="1"/>
  <c r="AC37" i="6"/>
  <c r="M28" i="8" s="1"/>
  <c r="R38" i="6"/>
  <c r="AR38" i="6"/>
  <c r="Y29" i="8" s="1"/>
  <c r="AF38" i="6"/>
  <c r="P29" i="8" s="1"/>
  <c r="Q39" i="6"/>
  <c r="F30" i="8" s="1"/>
  <c r="AQ39" i="6"/>
  <c r="X30" i="8" s="1"/>
  <c r="AE39" i="6"/>
  <c r="O30" i="8" s="1"/>
  <c r="AH5" i="6"/>
  <c r="R5" i="8" s="1"/>
  <c r="AT5" i="6"/>
  <c r="AA5" i="8" s="1"/>
  <c r="AD5" i="6"/>
  <c r="N5" i="8" s="1"/>
  <c r="AP5" i="6"/>
  <c r="W5" i="8" s="1"/>
  <c r="AG6" i="6"/>
  <c r="Q6" i="8" s="1"/>
  <c r="AS6" i="6"/>
  <c r="Z6" i="8" s="1"/>
  <c r="AC6" i="6"/>
  <c r="M6" i="8" s="1"/>
  <c r="AO6" i="6"/>
  <c r="V6" i="8" s="1"/>
  <c r="AF7" i="6"/>
  <c r="P7" i="8" s="1"/>
  <c r="AR7" i="6"/>
  <c r="Y7" i="8" s="1"/>
  <c r="AQ8" i="6"/>
  <c r="X8" i="8" s="1"/>
  <c r="AE8" i="6"/>
  <c r="O8" i="8" s="1"/>
  <c r="AT9" i="6"/>
  <c r="AA9" i="8" s="1"/>
  <c r="AH9" i="6"/>
  <c r="R9" i="8" s="1"/>
  <c r="AP9" i="6"/>
  <c r="W9" i="8" s="1"/>
  <c r="W43" i="8" s="1"/>
  <c r="K40" i="9" s="1"/>
  <c r="AD9" i="6"/>
  <c r="N9" i="8" s="1"/>
  <c r="N43" i="8" s="1"/>
  <c r="K23" i="9" s="1"/>
  <c r="AR18" i="6"/>
  <c r="Y15" i="8" s="1"/>
  <c r="Y49" i="8" s="1"/>
  <c r="M43" i="9" s="1"/>
  <c r="AF18" i="6"/>
  <c r="P15" i="8" s="1"/>
  <c r="P49" i="8" s="1"/>
  <c r="M26" i="9" s="1"/>
  <c r="AQ19" i="6"/>
  <c r="X16" i="8" s="1"/>
  <c r="AE19" i="6"/>
  <c r="O16" i="8" s="1"/>
  <c r="AS20" i="6"/>
  <c r="Z17" i="8" s="1"/>
  <c r="AG20" i="6"/>
  <c r="Q17" i="8" s="1"/>
  <c r="AO20" i="6"/>
  <c r="V17" i="8" s="1"/>
  <c r="AC20" i="6"/>
  <c r="M17" i="8" s="1"/>
  <c r="AR21" i="6"/>
  <c r="Y18" i="8" s="1"/>
  <c r="AF21" i="6"/>
  <c r="P18" i="8" s="1"/>
  <c r="AN22" i="6"/>
  <c r="U19" i="8" s="1"/>
  <c r="AB22" i="6"/>
  <c r="L19" i="8" s="1"/>
  <c r="AQ22" i="6"/>
  <c r="X19" i="8" s="1"/>
  <c r="AE22" i="6"/>
  <c r="O19" i="8" s="1"/>
  <c r="T29" i="6"/>
  <c r="I23" i="8" s="1"/>
  <c r="AH29" i="6"/>
  <c r="R23" i="8" s="1"/>
  <c r="AT29" i="6"/>
  <c r="AA23" i="8" s="1"/>
  <c r="P29" i="6"/>
  <c r="E23" i="8" s="1"/>
  <c r="AD29" i="6"/>
  <c r="N23" i="8" s="1"/>
  <c r="AP29" i="6"/>
  <c r="W23" i="8" s="1"/>
  <c r="S30" i="6"/>
  <c r="H24" i="8" s="1"/>
  <c r="AG30" i="6"/>
  <c r="Q24" i="8" s="1"/>
  <c r="AS30" i="6"/>
  <c r="Z24" i="8" s="1"/>
  <c r="O30" i="6"/>
  <c r="D24" i="8" s="1"/>
  <c r="AC30" i="6"/>
  <c r="M24" i="8" s="1"/>
  <c r="AO30" i="6"/>
  <c r="V24" i="8" s="1"/>
  <c r="R37" i="6"/>
  <c r="AR37" i="6"/>
  <c r="Y28" i="8" s="1"/>
  <c r="AF37" i="6"/>
  <c r="Q38" i="6"/>
  <c r="F29" i="8" s="1"/>
  <c r="AQ38" i="6"/>
  <c r="X29" i="8" s="1"/>
  <c r="AE38" i="6"/>
  <c r="O29" i="8" s="1"/>
  <c r="T39" i="6"/>
  <c r="I30" i="8" s="1"/>
  <c r="AT39" i="6"/>
  <c r="AA30" i="8" s="1"/>
  <c r="AH39" i="6"/>
  <c r="R30" i="8" s="1"/>
  <c r="P39" i="6"/>
  <c r="E30" i="8" s="1"/>
  <c r="AP39" i="6"/>
  <c r="W30" i="8" s="1"/>
  <c r="AD39" i="6"/>
  <c r="N30" i="8" s="1"/>
  <c r="AS5" i="6"/>
  <c r="Z5" i="8" s="1"/>
  <c r="AG5" i="6"/>
  <c r="Q5" i="8" s="1"/>
  <c r="AO5" i="6"/>
  <c r="V5" i="8" s="1"/>
  <c r="AC5" i="6"/>
  <c r="M5" i="8" s="1"/>
  <c r="AR6" i="6"/>
  <c r="Y6" i="8" s="1"/>
  <c r="AF6" i="6"/>
  <c r="P6" i="8" s="1"/>
  <c r="AQ7" i="6"/>
  <c r="X7" i="8" s="1"/>
  <c r="AE7" i="6"/>
  <c r="O7" i="8" s="1"/>
  <c r="AT8" i="6"/>
  <c r="AA8" i="8" s="1"/>
  <c r="AH8" i="6"/>
  <c r="R8" i="8" s="1"/>
  <c r="AP8" i="6"/>
  <c r="W8" i="8" s="1"/>
  <c r="AD8" i="6"/>
  <c r="N8" i="8" s="1"/>
  <c r="AS9" i="6"/>
  <c r="Z9" i="8" s="1"/>
  <c r="AG9" i="6"/>
  <c r="Q9" i="8" s="1"/>
  <c r="AO9" i="6"/>
  <c r="V9" i="8" s="1"/>
  <c r="AC9" i="6"/>
  <c r="M9" i="8" s="1"/>
  <c r="AQ18" i="6"/>
  <c r="X15" i="8" s="1"/>
  <c r="AE18" i="6"/>
  <c r="O15" i="8" s="1"/>
  <c r="AT19" i="6"/>
  <c r="AA16" i="8" s="1"/>
  <c r="AH19" i="6"/>
  <c r="R16" i="8" s="1"/>
  <c r="AP19" i="6"/>
  <c r="W16" i="8" s="1"/>
  <c r="W50" i="8" s="1"/>
  <c r="K44" i="9" s="1"/>
  <c r="AD19" i="6"/>
  <c r="N16" i="8" s="1"/>
  <c r="N50" i="8" s="1"/>
  <c r="K27" i="9" s="1"/>
  <c r="AR20" i="6"/>
  <c r="Y17" i="8" s="1"/>
  <c r="Y51" i="8" s="1"/>
  <c r="M45" i="9" s="1"/>
  <c r="AF20" i="6"/>
  <c r="P17" i="8" s="1"/>
  <c r="P51" i="8" s="1"/>
  <c r="M28" i="9" s="1"/>
  <c r="AQ21" i="6"/>
  <c r="X18" i="8" s="1"/>
  <c r="AE21" i="6"/>
  <c r="O18" i="8" s="1"/>
  <c r="AT22" i="6"/>
  <c r="AA19" i="8" s="1"/>
  <c r="AH22" i="6"/>
  <c r="R19" i="8" s="1"/>
  <c r="AP22" i="6"/>
  <c r="W19" i="8" s="1"/>
  <c r="AD22" i="6"/>
  <c r="N19" i="8" s="1"/>
  <c r="S29" i="6"/>
  <c r="H23" i="8" s="1"/>
  <c r="AS29" i="6"/>
  <c r="Z23" i="8" s="1"/>
  <c r="AG29" i="6"/>
  <c r="O29" i="6"/>
  <c r="D23" i="8" s="1"/>
  <c r="AO29" i="6"/>
  <c r="AC29" i="6"/>
  <c r="M23" i="8" s="1"/>
  <c r="R30" i="6"/>
  <c r="AR30" i="6"/>
  <c r="Y24" i="8" s="1"/>
  <c r="AF30" i="6"/>
  <c r="P24" i="8" s="1"/>
  <c r="Q37" i="6"/>
  <c r="F28" i="8" s="1"/>
  <c r="AQ37" i="6"/>
  <c r="X28" i="8" s="1"/>
  <c r="AE37" i="6"/>
  <c r="T38" i="6"/>
  <c r="I29" i="8" s="1"/>
  <c r="AT38" i="6"/>
  <c r="AA29" i="8" s="1"/>
  <c r="AH38" i="6"/>
  <c r="R29" i="8" s="1"/>
  <c r="P38" i="6"/>
  <c r="E29" i="8" s="1"/>
  <c r="AP38" i="6"/>
  <c r="W29" i="8" s="1"/>
  <c r="AD38" i="6"/>
  <c r="N29" i="8" s="1"/>
  <c r="S39" i="6"/>
  <c r="AS39" i="6"/>
  <c r="Z30" i="8" s="1"/>
  <c r="AG39" i="6"/>
  <c r="Q30" i="8" s="1"/>
  <c r="O39" i="6"/>
  <c r="D30" i="8" s="1"/>
  <c r="AO39" i="6"/>
  <c r="V30" i="8" s="1"/>
  <c r="AC39" i="6"/>
  <c r="M30" i="8" s="1"/>
  <c r="T6" i="6"/>
  <c r="O7" i="6"/>
  <c r="D7" i="8" s="1"/>
  <c r="Q9" i="6"/>
  <c r="O18" i="6"/>
  <c r="D15" i="8" s="1"/>
  <c r="S21" i="6"/>
  <c r="H18" i="8" s="1"/>
  <c r="R5" i="6"/>
  <c r="G5" i="8" s="1"/>
  <c r="Q6" i="6"/>
  <c r="T7" i="6"/>
  <c r="I7" i="8" s="1"/>
  <c r="P7" i="6"/>
  <c r="S8" i="6"/>
  <c r="H8" i="8" s="1"/>
  <c r="O8" i="6"/>
  <c r="R9" i="6"/>
  <c r="G9" i="8" s="1"/>
  <c r="T18" i="6"/>
  <c r="P18" i="6"/>
  <c r="E15" i="8" s="1"/>
  <c r="S19" i="6"/>
  <c r="O19" i="6"/>
  <c r="D16" i="8" s="1"/>
  <c r="Q20" i="6"/>
  <c r="T21" i="6"/>
  <c r="I18" i="8" s="1"/>
  <c r="P21" i="6"/>
  <c r="S22" i="6"/>
  <c r="O22" i="6"/>
  <c r="Q5" i="6"/>
  <c r="F5" i="8" s="1"/>
  <c r="S7" i="6"/>
  <c r="T20" i="6"/>
  <c r="I17" i="8" s="1"/>
  <c r="R22" i="6"/>
  <c r="S6" i="6"/>
  <c r="O6" i="6"/>
  <c r="R7" i="6"/>
  <c r="Q8" i="6"/>
  <c r="F8" i="8" s="1"/>
  <c r="T9" i="6"/>
  <c r="P9" i="6"/>
  <c r="R18" i="6"/>
  <c r="Q19" i="6"/>
  <c r="F16" i="8" s="1"/>
  <c r="S20" i="6"/>
  <c r="O20" i="6"/>
  <c r="R21" i="6"/>
  <c r="N22" i="6"/>
  <c r="Q22" i="6"/>
  <c r="P6" i="6"/>
  <c r="R8" i="6"/>
  <c r="S18" i="6"/>
  <c r="R19" i="6"/>
  <c r="P20" i="6"/>
  <c r="O21" i="6"/>
  <c r="N29" i="6"/>
  <c r="C23" i="8" s="1"/>
  <c r="S5" i="6"/>
  <c r="H5" i="8" s="1"/>
  <c r="O5" i="6"/>
  <c r="R6" i="6"/>
  <c r="G6" i="8" s="1"/>
  <c r="Q7" i="6"/>
  <c r="T8" i="6"/>
  <c r="I8" i="8" s="1"/>
  <c r="P8" i="6"/>
  <c r="S9" i="6"/>
  <c r="H9" i="8" s="1"/>
  <c r="Q18" i="6"/>
  <c r="F15" i="8" s="1"/>
  <c r="T19" i="6"/>
  <c r="P19" i="6"/>
  <c r="R20" i="6"/>
  <c r="Q21" i="6"/>
  <c r="F18" i="8" s="1"/>
  <c r="T22" i="6"/>
  <c r="P22" i="6"/>
  <c r="O9" i="6"/>
  <c r="T5" i="6"/>
  <c r="P5" i="6"/>
  <c r="Q4" i="6"/>
  <c r="AE4" i="6" s="1"/>
  <c r="AQ4" i="6" s="1"/>
  <c r="S4" i="6"/>
  <c r="AG4" i="6" s="1"/>
  <c r="AS4" i="6" s="1"/>
  <c r="O4" i="6"/>
  <c r="AC4" i="6" s="1"/>
  <c r="AO4" i="6" s="1"/>
  <c r="N4" i="6"/>
  <c r="AB4" i="6" s="1"/>
  <c r="AN4" i="6" s="1"/>
  <c r="R4" i="6"/>
  <c r="AF4" i="6" s="1"/>
  <c r="AR4" i="6" s="1"/>
  <c r="T4" i="6"/>
  <c r="AH4" i="6" s="1"/>
  <c r="AT4" i="6" s="1"/>
  <c r="P4" i="6"/>
  <c r="AD4" i="6" s="1"/>
  <c r="AP4" i="6" s="1"/>
  <c r="I17" i="6"/>
  <c r="T17" i="6" s="1"/>
  <c r="G36" i="6"/>
  <c r="R36" i="6" s="1"/>
  <c r="G17" i="6"/>
  <c r="R17" i="6" s="1"/>
  <c r="E36" i="6"/>
  <c r="P36" i="6" s="1"/>
  <c r="E17" i="6"/>
  <c r="P17" i="6" s="1"/>
  <c r="I36" i="6"/>
  <c r="T36" i="6" s="1"/>
  <c r="C28" i="6"/>
  <c r="N28" i="6" s="1"/>
  <c r="F28" i="6"/>
  <c r="Q28" i="6" s="1"/>
  <c r="C17" i="6"/>
  <c r="N17" i="6" s="1"/>
  <c r="F17" i="6"/>
  <c r="Q17" i="6" s="1"/>
  <c r="H36" i="6"/>
  <c r="S36" i="6" s="1"/>
  <c r="D36" i="6"/>
  <c r="O36" i="6" s="1"/>
  <c r="H28" i="6"/>
  <c r="S28" i="6" s="1"/>
  <c r="D28" i="6"/>
  <c r="O28" i="6" s="1"/>
  <c r="M58" i="8" l="1"/>
  <c r="J32" i="9" s="1"/>
  <c r="W51" i="8"/>
  <c r="K45" i="9" s="1"/>
  <c r="Z49" i="8"/>
  <c r="N43" i="9" s="1"/>
  <c r="AQ65" i="8"/>
  <c r="P63" i="8"/>
  <c r="M34" i="9" s="1"/>
  <c r="AO59" i="8"/>
  <c r="Q39" i="8"/>
  <c r="N19" i="9" s="1"/>
  <c r="O63" i="8"/>
  <c r="L34" i="9" s="1"/>
  <c r="L53" i="8"/>
  <c r="I30" i="9" s="1"/>
  <c r="AQ46" i="8"/>
  <c r="AN65" i="8"/>
  <c r="W57" i="8"/>
  <c r="K48" i="9" s="1"/>
  <c r="N40" i="8"/>
  <c r="K20" i="9" s="1"/>
  <c r="X62" i="8"/>
  <c r="L50" i="9" s="1"/>
  <c r="X63" i="8"/>
  <c r="L51" i="9" s="1"/>
  <c r="Z58" i="8"/>
  <c r="N49" i="9" s="1"/>
  <c r="U53" i="8"/>
  <c r="I47" i="9" s="1"/>
  <c r="X50" i="8"/>
  <c r="L44" i="9" s="1"/>
  <c r="X42" i="8"/>
  <c r="L39" i="9" s="1"/>
  <c r="M40" i="8"/>
  <c r="J20" i="9" s="1"/>
  <c r="N39" i="8"/>
  <c r="K19" i="9" s="1"/>
  <c r="X64" i="8"/>
  <c r="L52" i="9" s="1"/>
  <c r="X39" i="8"/>
  <c r="L36" i="9" s="1"/>
  <c r="V64" i="8"/>
  <c r="J52" i="9" s="1"/>
  <c r="W53" i="8"/>
  <c r="K47" i="9" s="1"/>
  <c r="X52" i="8"/>
  <c r="L46" i="9" s="1"/>
  <c r="D64" i="8"/>
  <c r="J18" i="9" s="1"/>
  <c r="N63" i="8"/>
  <c r="K34" i="9" s="1"/>
  <c r="M43" i="8"/>
  <c r="J23" i="9" s="1"/>
  <c r="O41" i="8"/>
  <c r="L21" i="9" s="1"/>
  <c r="V58" i="8"/>
  <c r="J49" i="9" s="1"/>
  <c r="Q58" i="8"/>
  <c r="N32" i="9" s="1"/>
  <c r="E57" i="8"/>
  <c r="K14" i="9" s="1"/>
  <c r="P52" i="8"/>
  <c r="M29" i="9" s="1"/>
  <c r="Y41" i="8"/>
  <c r="M38" i="9" s="1"/>
  <c r="Z40" i="8"/>
  <c r="N37" i="9" s="1"/>
  <c r="F64" i="8"/>
  <c r="L18" i="9" s="1"/>
  <c r="M62" i="8"/>
  <c r="J33" i="9" s="1"/>
  <c r="Z62" i="8"/>
  <c r="N50" i="9" s="1"/>
  <c r="O57" i="8"/>
  <c r="L31" i="9" s="1"/>
  <c r="M52" i="8"/>
  <c r="J29" i="9" s="1"/>
  <c r="N51" i="8"/>
  <c r="K28" i="9" s="1"/>
  <c r="Q49" i="8"/>
  <c r="N26" i="9" s="1"/>
  <c r="P42" i="8"/>
  <c r="M22" i="9" s="1"/>
  <c r="AO46" i="8"/>
  <c r="AP46" i="8"/>
  <c r="AR46" i="8"/>
  <c r="Z43" i="8"/>
  <c r="N40" i="9" s="1"/>
  <c r="AR59" i="8"/>
  <c r="AO65" i="8"/>
  <c r="AN12" i="8"/>
  <c r="Y58" i="8"/>
  <c r="M49" i="9" s="1"/>
  <c r="V40" i="8"/>
  <c r="J37" i="9" s="1"/>
  <c r="W39" i="8"/>
  <c r="K36" i="9" s="1"/>
  <c r="Y63" i="8"/>
  <c r="M51" i="9" s="1"/>
  <c r="P53" i="8"/>
  <c r="M30" i="9" s="1"/>
  <c r="Q52" i="8"/>
  <c r="N29" i="9" s="1"/>
  <c r="M49" i="8"/>
  <c r="J26" i="9" s="1"/>
  <c r="O39" i="8"/>
  <c r="L19" i="9" s="1"/>
  <c r="Q64" i="8"/>
  <c r="N35" i="9" s="1"/>
  <c r="W63" i="8"/>
  <c r="K51" i="9" s="1"/>
  <c r="Y52" i="8"/>
  <c r="M46" i="9" s="1"/>
  <c r="X57" i="8"/>
  <c r="L48" i="9" s="1"/>
  <c r="Y42" i="8"/>
  <c r="M39" i="9" s="1"/>
  <c r="P64" i="8"/>
  <c r="M35" i="9" s="1"/>
  <c r="X58" i="8"/>
  <c r="L49" i="9" s="1"/>
  <c r="Z53" i="8"/>
  <c r="N47" i="9" s="1"/>
  <c r="V50" i="8"/>
  <c r="J44" i="9" s="1"/>
  <c r="W49" i="8"/>
  <c r="K43" i="9" s="1"/>
  <c r="Y43" i="8"/>
  <c r="M40" i="9" s="1"/>
  <c r="W41" i="8"/>
  <c r="K38" i="9" s="1"/>
  <c r="X40" i="8"/>
  <c r="L37" i="9" s="1"/>
  <c r="BA22" i="6"/>
  <c r="AG19" i="8" s="1"/>
  <c r="AP19" i="8"/>
  <c r="AP20" i="8" s="1"/>
  <c r="F19" i="8"/>
  <c r="BC6" i="6"/>
  <c r="AI6" i="8" s="1"/>
  <c r="H6" i="8"/>
  <c r="E49" i="8"/>
  <c r="K9" i="9" s="1"/>
  <c r="F31" i="8"/>
  <c r="Q51" i="8"/>
  <c r="N28" i="9" s="1"/>
  <c r="P50" i="8"/>
  <c r="M27" i="9" s="1"/>
  <c r="Q41" i="8"/>
  <c r="N21" i="9" s="1"/>
  <c r="V63" i="8"/>
  <c r="J51" i="9" s="1"/>
  <c r="G57" i="8"/>
  <c r="M14" i="9" s="1"/>
  <c r="AQ36" i="6"/>
  <c r="O27" i="8"/>
  <c r="AD17" i="6"/>
  <c r="E14" i="8"/>
  <c r="AH17" i="6"/>
  <c r="I14" i="8"/>
  <c r="AZ5" i="6"/>
  <c r="E5" i="8"/>
  <c r="AZ22" i="6"/>
  <c r="AF19" i="8" s="1"/>
  <c r="AO19" i="8"/>
  <c r="E19" i="8"/>
  <c r="E53" i="8" s="1"/>
  <c r="K13" i="9" s="1"/>
  <c r="AZ19" i="6"/>
  <c r="AF16" i="8" s="1"/>
  <c r="E16" i="8"/>
  <c r="E50" i="8" s="1"/>
  <c r="K10" i="9" s="1"/>
  <c r="K78" i="9" s="1"/>
  <c r="AZ8" i="6"/>
  <c r="AF8" i="8" s="1"/>
  <c r="E8" i="8"/>
  <c r="AY5" i="6"/>
  <c r="AE5" i="8" s="1"/>
  <c r="D5" i="8"/>
  <c r="AZ20" i="6"/>
  <c r="AF17" i="8" s="1"/>
  <c r="E17" i="8"/>
  <c r="AZ6" i="6"/>
  <c r="AF6" i="8" s="1"/>
  <c r="E6" i="8"/>
  <c r="AY20" i="6"/>
  <c r="AE17" i="8" s="1"/>
  <c r="D17" i="8"/>
  <c r="AZ9" i="6"/>
  <c r="AF9" i="8" s="1"/>
  <c r="E9" i="8"/>
  <c r="AY6" i="6"/>
  <c r="AE6" i="8" s="1"/>
  <c r="D6" i="8"/>
  <c r="BC7" i="6"/>
  <c r="AI7" i="8" s="1"/>
  <c r="H7" i="8"/>
  <c r="AZ21" i="6"/>
  <c r="AF18" i="8" s="1"/>
  <c r="E18" i="8"/>
  <c r="BC19" i="6"/>
  <c r="AI16" i="8" s="1"/>
  <c r="H16" i="8"/>
  <c r="AY8" i="6"/>
  <c r="AE8" i="8" s="1"/>
  <c r="AE42" i="8" s="1"/>
  <c r="J56" i="9" s="1"/>
  <c r="D8" i="8"/>
  <c r="D42" i="8" s="1"/>
  <c r="J5" i="9" s="1"/>
  <c r="BA6" i="6"/>
  <c r="AG6" i="8" s="1"/>
  <c r="F6" i="8"/>
  <c r="F40" i="8" s="1"/>
  <c r="L3" i="9" s="1"/>
  <c r="BA9" i="6"/>
  <c r="AG9" i="8" s="1"/>
  <c r="F9" i="8"/>
  <c r="BC39" i="6"/>
  <c r="AI30" i="8" s="1"/>
  <c r="H30" i="8"/>
  <c r="H64" i="8" s="1"/>
  <c r="N18" i="9" s="1"/>
  <c r="BB30" i="6"/>
  <c r="AH24" i="8" s="1"/>
  <c r="G24" i="8"/>
  <c r="G58" i="8" s="1"/>
  <c r="M15" i="9" s="1"/>
  <c r="AG31" i="6"/>
  <c r="Q25" i="8" s="1"/>
  <c r="Q23" i="8"/>
  <c r="P57" i="8" s="1"/>
  <c r="M31" i="9" s="1"/>
  <c r="X49" i="8"/>
  <c r="L43" i="9" s="1"/>
  <c r="Y40" i="8"/>
  <c r="M37" i="9" s="1"/>
  <c r="BB37" i="6"/>
  <c r="AH28" i="8" s="1"/>
  <c r="G28" i="8"/>
  <c r="F62" i="8" s="1"/>
  <c r="L16" i="9" s="1"/>
  <c r="V51" i="8"/>
  <c r="J45" i="9" s="1"/>
  <c r="BB38" i="6"/>
  <c r="AH29" i="8" s="1"/>
  <c r="G29" i="8"/>
  <c r="G63" i="8" s="1"/>
  <c r="M17" i="9" s="1"/>
  <c r="W58" i="8"/>
  <c r="K49" i="9" s="1"/>
  <c r="BD30" i="6"/>
  <c r="AJ24" i="8" s="1"/>
  <c r="I24" i="8"/>
  <c r="I25" i="8" s="1"/>
  <c r="X43" i="8"/>
  <c r="L40" i="9" s="1"/>
  <c r="V41" i="8"/>
  <c r="J38" i="9" s="1"/>
  <c r="M63" i="8"/>
  <c r="J34" i="9" s="1"/>
  <c r="Z63" i="8"/>
  <c r="N51" i="9" s="1"/>
  <c r="AZ37" i="6"/>
  <c r="AF28" i="8" s="1"/>
  <c r="E28" i="8"/>
  <c r="D62" i="8" s="1"/>
  <c r="J16" i="9" s="1"/>
  <c r="J84" i="9" s="1"/>
  <c r="P39" i="8"/>
  <c r="M19" i="9" s="1"/>
  <c r="AR28" i="6"/>
  <c r="P22" i="8"/>
  <c r="M42" i="8"/>
  <c r="J22" i="9" s="1"/>
  <c r="Z39" i="8"/>
  <c r="N36" i="9" s="1"/>
  <c r="N57" i="8"/>
  <c r="K31" i="9" s="1"/>
  <c r="Q62" i="8"/>
  <c r="N33" i="9" s="1"/>
  <c r="L57" i="8"/>
  <c r="I31" i="9" s="1"/>
  <c r="Y53" i="8"/>
  <c r="M47" i="9" s="1"/>
  <c r="Z52" i="8"/>
  <c r="N46" i="9" s="1"/>
  <c r="V49" i="8"/>
  <c r="J43" i="9" s="1"/>
  <c r="W40" i="8"/>
  <c r="K37" i="9" s="1"/>
  <c r="O58" i="8"/>
  <c r="L32" i="9" s="1"/>
  <c r="Y57" i="8"/>
  <c r="M48" i="9" s="1"/>
  <c r="Q53" i="8"/>
  <c r="N30" i="9" s="1"/>
  <c r="M50" i="8"/>
  <c r="J27" i="9" s="1"/>
  <c r="N49" i="8"/>
  <c r="K26" i="9" s="1"/>
  <c r="P43" i="8"/>
  <c r="M23" i="9" s="1"/>
  <c r="Z42" i="8"/>
  <c r="N39" i="9" s="1"/>
  <c r="AE28" i="6"/>
  <c r="F22" i="8"/>
  <c r="AD36" i="6"/>
  <c r="E27" i="8"/>
  <c r="BD22" i="6"/>
  <c r="AJ19" i="8" s="1"/>
  <c r="AS19" i="8"/>
  <c r="AS20" i="8" s="1"/>
  <c r="I19" i="8"/>
  <c r="BD9" i="6"/>
  <c r="AJ9" i="8" s="1"/>
  <c r="I9" i="8"/>
  <c r="H43" i="8" s="1"/>
  <c r="N6" i="9" s="1"/>
  <c r="G39" i="8"/>
  <c r="M2" i="9" s="1"/>
  <c r="Z57" i="8"/>
  <c r="N48" i="9" s="1"/>
  <c r="M39" i="8"/>
  <c r="J19" i="9" s="1"/>
  <c r="L39" i="8"/>
  <c r="I19" i="9" s="1"/>
  <c r="AS17" i="6"/>
  <c r="Z14" i="8" s="1"/>
  <c r="Q14" i="8"/>
  <c r="AB17" i="6"/>
  <c r="C14" i="8"/>
  <c r="AH36" i="6"/>
  <c r="I27" i="8"/>
  <c r="AY9" i="6"/>
  <c r="AE9" i="8" s="1"/>
  <c r="D9" i="8"/>
  <c r="D43" i="8" s="1"/>
  <c r="J6" i="9" s="1"/>
  <c r="AY21" i="6"/>
  <c r="AE18" i="8" s="1"/>
  <c r="AE52" i="8" s="1"/>
  <c r="J63" i="9" s="1"/>
  <c r="D18" i="8"/>
  <c r="D52" i="8" s="1"/>
  <c r="J12" i="9" s="1"/>
  <c r="BB8" i="6"/>
  <c r="AH8" i="8" s="1"/>
  <c r="G8" i="8"/>
  <c r="G42" i="8" s="1"/>
  <c r="M5" i="9" s="1"/>
  <c r="BB21" i="6"/>
  <c r="AH18" i="8" s="1"/>
  <c r="G18" i="8"/>
  <c r="G52" i="8" s="1"/>
  <c r="M12" i="9" s="1"/>
  <c r="BB18" i="6"/>
  <c r="AH15" i="8" s="1"/>
  <c r="G15" i="8"/>
  <c r="BB7" i="6"/>
  <c r="AH7" i="8" s="1"/>
  <c r="G7" i="8"/>
  <c r="AR19" i="8"/>
  <c r="AR20" i="8" s="1"/>
  <c r="H19" i="8"/>
  <c r="D49" i="8"/>
  <c r="J9" i="9" s="1"/>
  <c r="AE40" i="6"/>
  <c r="AE42" i="6" s="1"/>
  <c r="O28" i="8"/>
  <c r="N62" i="8" s="1"/>
  <c r="K33" i="9" s="1"/>
  <c r="D57" i="8"/>
  <c r="J14" i="9" s="1"/>
  <c r="D25" i="8"/>
  <c r="O49" i="8"/>
  <c r="L26" i="9" s="1"/>
  <c r="P40" i="8"/>
  <c r="M20" i="9" s="1"/>
  <c r="E64" i="8"/>
  <c r="K18" i="9" s="1"/>
  <c r="Y62" i="8"/>
  <c r="M50" i="9" s="1"/>
  <c r="M51" i="8"/>
  <c r="J28" i="9" s="1"/>
  <c r="D31" i="8"/>
  <c r="N58" i="8"/>
  <c r="K32" i="9" s="1"/>
  <c r="F57" i="8"/>
  <c r="L14" i="9" s="1"/>
  <c r="F25" i="8"/>
  <c r="O43" i="8"/>
  <c r="L23" i="9" s="1"/>
  <c r="M41" i="8"/>
  <c r="J21" i="9" s="1"/>
  <c r="Q63" i="8"/>
  <c r="N34" i="9" s="1"/>
  <c r="W52" i="8"/>
  <c r="K46" i="9" s="1"/>
  <c r="Y39" i="8"/>
  <c r="M36" i="9" s="1"/>
  <c r="AN36" i="6"/>
  <c r="L27" i="8"/>
  <c r="AO17" i="6"/>
  <c r="M14" i="8"/>
  <c r="AT28" i="6"/>
  <c r="AA22" i="8" s="1"/>
  <c r="R22" i="8"/>
  <c r="D50" i="8"/>
  <c r="J10" i="9" s="1"/>
  <c r="G43" i="8"/>
  <c r="M6" i="9" s="1"/>
  <c r="M64" i="8"/>
  <c r="J35" i="9" s="1"/>
  <c r="Z64" i="8"/>
  <c r="N52" i="9" s="1"/>
  <c r="E63" i="8"/>
  <c r="K17" i="9" s="1"/>
  <c r="N53" i="8"/>
  <c r="K30" i="9" s="1"/>
  <c r="O52" i="8"/>
  <c r="L29" i="9" s="1"/>
  <c r="Q43" i="8"/>
  <c r="N23" i="9" s="1"/>
  <c r="D58" i="8"/>
  <c r="J15" i="9" s="1"/>
  <c r="J83" i="9" s="1"/>
  <c r="O50" i="8"/>
  <c r="L27" i="9" s="1"/>
  <c r="O42" i="8"/>
  <c r="L22" i="9" s="1"/>
  <c r="O64" i="8"/>
  <c r="L35" i="9" s="1"/>
  <c r="G64" i="8"/>
  <c r="M18" i="9" s="1"/>
  <c r="W62" i="8"/>
  <c r="K50" i="9" s="1"/>
  <c r="I31" i="8"/>
  <c r="V53" i="8"/>
  <c r="J47" i="9" s="1"/>
  <c r="X51" i="8"/>
  <c r="L45" i="9" s="1"/>
  <c r="Z50" i="8"/>
  <c r="N44" i="9" s="1"/>
  <c r="Q42" i="8"/>
  <c r="N22" i="9" s="1"/>
  <c r="AC36" i="6"/>
  <c r="D27" i="8"/>
  <c r="BD5" i="6"/>
  <c r="AJ5" i="8" s="1"/>
  <c r="I5" i="8"/>
  <c r="BD19" i="6"/>
  <c r="AJ16" i="8" s="1"/>
  <c r="I16" i="8"/>
  <c r="BB19" i="6"/>
  <c r="AH16" i="8" s="1"/>
  <c r="G16" i="8"/>
  <c r="F50" i="8" s="1"/>
  <c r="L10" i="9" s="1"/>
  <c r="BC20" i="6"/>
  <c r="AI17" i="8" s="1"/>
  <c r="H17" i="8"/>
  <c r="F39" i="8"/>
  <c r="L2" i="9" s="1"/>
  <c r="M57" i="8"/>
  <c r="J31" i="9" s="1"/>
  <c r="N42" i="8"/>
  <c r="K22" i="9" s="1"/>
  <c r="N64" i="8"/>
  <c r="K35" i="9" s="1"/>
  <c r="O53" i="8"/>
  <c r="L30" i="9" s="1"/>
  <c r="E25" i="8"/>
  <c r="E58" i="8"/>
  <c r="K15" i="9" s="1"/>
  <c r="H63" i="8"/>
  <c r="N17" i="9" s="1"/>
  <c r="AP28" i="6"/>
  <c r="N22" i="8"/>
  <c r="AG28" i="6"/>
  <c r="H22" i="8"/>
  <c r="AC28" i="6"/>
  <c r="D22" i="8"/>
  <c r="AE17" i="6"/>
  <c r="F14" i="8"/>
  <c r="AF36" i="6"/>
  <c r="G27" i="8"/>
  <c r="BB20" i="6"/>
  <c r="AH17" i="8" s="1"/>
  <c r="G17" i="8"/>
  <c r="AG36" i="6"/>
  <c r="H27" i="8"/>
  <c r="AB28" i="6"/>
  <c r="C22" i="8"/>
  <c r="AF17" i="6"/>
  <c r="G14" i="8"/>
  <c r="F49" i="8"/>
  <c r="L9" i="9" s="1"/>
  <c r="BA7" i="6"/>
  <c r="AG7" i="8" s="1"/>
  <c r="AG41" i="8" s="1"/>
  <c r="L55" i="9" s="1"/>
  <c r="F7" i="8"/>
  <c r="C57" i="8"/>
  <c r="I14" i="9" s="1"/>
  <c r="BC18" i="6"/>
  <c r="AI15" i="8" s="1"/>
  <c r="H15" i="8"/>
  <c r="AM19" i="8"/>
  <c r="C19" i="8"/>
  <c r="AQ19" i="8"/>
  <c r="G19" i="8"/>
  <c r="AY22" i="6"/>
  <c r="AE19" i="8" s="1"/>
  <c r="AN19" i="8"/>
  <c r="D19" i="8"/>
  <c r="BA20" i="6"/>
  <c r="AG17" i="8" s="1"/>
  <c r="F17" i="8"/>
  <c r="BD18" i="6"/>
  <c r="AJ15" i="8" s="1"/>
  <c r="I15" i="8"/>
  <c r="AZ7" i="6"/>
  <c r="AF7" i="8" s="1"/>
  <c r="AF41" i="8" s="1"/>
  <c r="K55" i="9" s="1"/>
  <c r="E7" i="8"/>
  <c r="E41" i="8" s="1"/>
  <c r="K4" i="9" s="1"/>
  <c r="BD6" i="6"/>
  <c r="AJ6" i="8" s="1"/>
  <c r="I6" i="8"/>
  <c r="AO31" i="6"/>
  <c r="V25" i="8" s="1"/>
  <c r="V23" i="8"/>
  <c r="U57" i="8" s="1"/>
  <c r="I48" i="9" s="1"/>
  <c r="H57" i="8"/>
  <c r="N14" i="9" s="1"/>
  <c r="H25" i="8"/>
  <c r="W42" i="8"/>
  <c r="K39" i="9" s="1"/>
  <c r="V39" i="8"/>
  <c r="J36" i="9" s="1"/>
  <c r="U39" i="8"/>
  <c r="I36" i="9" s="1"/>
  <c r="W64" i="8"/>
  <c r="K52" i="9" s="1"/>
  <c r="AF40" i="6"/>
  <c r="P31" i="8" s="1"/>
  <c r="P28" i="8"/>
  <c r="X53" i="8"/>
  <c r="L47" i="9" s="1"/>
  <c r="Z51" i="8"/>
  <c r="N45" i="9" s="1"/>
  <c r="H62" i="8"/>
  <c r="N16" i="9" s="1"/>
  <c r="Y50" i="8"/>
  <c r="M44" i="9" s="1"/>
  <c r="Z41" i="8"/>
  <c r="N38" i="9" s="1"/>
  <c r="D63" i="8"/>
  <c r="J17" i="9" s="1"/>
  <c r="N52" i="8"/>
  <c r="K29" i="9" s="1"/>
  <c r="H42" i="8"/>
  <c r="N5" i="9" s="1"/>
  <c r="Q40" i="6"/>
  <c r="H52" i="8"/>
  <c r="N12" i="9" s="1"/>
  <c r="P58" i="8"/>
  <c r="M32" i="9" s="1"/>
  <c r="V43" i="8"/>
  <c r="J40" i="9" s="1"/>
  <c r="X41" i="8"/>
  <c r="L38" i="9" s="1"/>
  <c r="P41" i="8"/>
  <c r="M21" i="9" s="1"/>
  <c r="Q40" i="8"/>
  <c r="N20" i="9" s="1"/>
  <c r="Y64" i="8"/>
  <c r="M52" i="9" s="1"/>
  <c r="M53" i="8"/>
  <c r="J30" i="9" s="1"/>
  <c r="O51" i="8"/>
  <c r="L28" i="9" s="1"/>
  <c r="Q50" i="8"/>
  <c r="N27" i="9" s="1"/>
  <c r="V42" i="8"/>
  <c r="J39" i="9" s="1"/>
  <c r="N41" i="8"/>
  <c r="K21" i="9" s="1"/>
  <c r="O40" i="8"/>
  <c r="L20" i="9" s="1"/>
  <c r="T31" i="6"/>
  <c r="BD29" i="6"/>
  <c r="O31" i="6"/>
  <c r="AY29" i="6"/>
  <c r="AE23" i="8" s="1"/>
  <c r="BC9" i="6"/>
  <c r="AI9" i="8" s="1"/>
  <c r="BB6" i="6"/>
  <c r="AH6" i="8" s="1"/>
  <c r="BD20" i="6"/>
  <c r="AJ17" i="8" s="1"/>
  <c r="BC22" i="6"/>
  <c r="AI19" i="8" s="1"/>
  <c r="AY19" i="6"/>
  <c r="AE16" i="8" s="1"/>
  <c r="BB9" i="6"/>
  <c r="AH9" i="8" s="1"/>
  <c r="BD7" i="6"/>
  <c r="AJ7" i="8" s="1"/>
  <c r="AY18" i="6"/>
  <c r="AZ38" i="6"/>
  <c r="AF29" i="8" s="1"/>
  <c r="AZ39" i="6"/>
  <c r="AY30" i="6"/>
  <c r="AE24" i="8" s="1"/>
  <c r="AY37" i="6"/>
  <c r="AE28" i="8" s="1"/>
  <c r="BA29" i="6"/>
  <c r="AG23" i="8" s="1"/>
  <c r="BB39" i="6"/>
  <c r="AH30" i="8" s="1"/>
  <c r="BD37" i="6"/>
  <c r="AJ28" i="8" s="1"/>
  <c r="BA21" i="6"/>
  <c r="AG18" i="8" s="1"/>
  <c r="AG52" i="8" s="1"/>
  <c r="L63" i="9" s="1"/>
  <c r="BA18" i="6"/>
  <c r="AG15" i="8" s="1"/>
  <c r="AX29" i="6"/>
  <c r="AD23" i="8" s="1"/>
  <c r="AX22" i="6"/>
  <c r="AD19" i="8" s="1"/>
  <c r="BA19" i="6"/>
  <c r="AG16" i="8" s="1"/>
  <c r="BA8" i="6"/>
  <c r="AG8" i="8" s="1"/>
  <c r="BB22" i="6"/>
  <c r="BC21" i="6"/>
  <c r="AI18" i="8" s="1"/>
  <c r="BD38" i="6"/>
  <c r="AJ29" i="8" s="1"/>
  <c r="BC29" i="6"/>
  <c r="BD39" i="6"/>
  <c r="AJ30" i="8" s="1"/>
  <c r="BC30" i="6"/>
  <c r="AI24" i="8" s="1"/>
  <c r="AI58" i="8" s="1"/>
  <c r="N66" i="9" s="1"/>
  <c r="BC37" i="6"/>
  <c r="AY38" i="6"/>
  <c r="AE29" i="8" s="1"/>
  <c r="BA30" i="6"/>
  <c r="AG24" i="8" s="1"/>
  <c r="AG58" i="8" s="1"/>
  <c r="L66" i="9" s="1"/>
  <c r="BD8" i="6"/>
  <c r="AJ8" i="8" s="1"/>
  <c r="BC5" i="6"/>
  <c r="AI5" i="8" s="1"/>
  <c r="AI39" i="8" s="1"/>
  <c r="N53" i="9" s="1"/>
  <c r="BA5" i="6"/>
  <c r="AG5" i="8" s="1"/>
  <c r="BD21" i="6"/>
  <c r="AZ18" i="6"/>
  <c r="BC8" i="6"/>
  <c r="AI8" i="8" s="1"/>
  <c r="BB5" i="6"/>
  <c r="AY7" i="6"/>
  <c r="AY39" i="6"/>
  <c r="AE30" i="8" s="1"/>
  <c r="BA37" i="6"/>
  <c r="BA38" i="6"/>
  <c r="AG29" i="8" s="1"/>
  <c r="AZ29" i="6"/>
  <c r="AF23" i="8" s="1"/>
  <c r="BA39" i="6"/>
  <c r="AG30" i="8" s="1"/>
  <c r="AZ30" i="6"/>
  <c r="AF24" i="8" s="1"/>
  <c r="BC38" i="6"/>
  <c r="AI29" i="8" s="1"/>
  <c r="BB29" i="6"/>
  <c r="AT31" i="6"/>
  <c r="AA25" i="8" s="1"/>
  <c r="AH12" i="6"/>
  <c r="R12" i="8" s="1"/>
  <c r="O40" i="6"/>
  <c r="AG12" i="6"/>
  <c r="Q12" i="8" s="1"/>
  <c r="AE12" i="6"/>
  <c r="P12" i="6"/>
  <c r="O12" i="6"/>
  <c r="AS12" i="6"/>
  <c r="Z12" i="8" s="1"/>
  <c r="AD12" i="6"/>
  <c r="N12" i="8" s="1"/>
  <c r="AQ12" i="6"/>
  <c r="AR12" i="6"/>
  <c r="Y12" i="8" s="1"/>
  <c r="AO12" i="6"/>
  <c r="V12" i="8" s="1"/>
  <c r="AP12" i="6"/>
  <c r="W12" i="8" s="1"/>
  <c r="T12" i="6"/>
  <c r="S12" i="6"/>
  <c r="Q12" i="6"/>
  <c r="R12" i="6"/>
  <c r="AC12" i="6"/>
  <c r="M12" i="8" s="1"/>
  <c r="AT12" i="6"/>
  <c r="AA12" i="8" s="1"/>
  <c r="AF12" i="6"/>
  <c r="P12" i="8" s="1"/>
  <c r="AD31" i="6"/>
  <c r="N25" i="8" s="1"/>
  <c r="R40" i="6"/>
  <c r="S40" i="6"/>
  <c r="AR23" i="6"/>
  <c r="Y20" i="8" s="1"/>
  <c r="R23" i="6"/>
  <c r="AE23" i="6"/>
  <c r="AP31" i="6"/>
  <c r="W25" i="8" s="1"/>
  <c r="AH31" i="6"/>
  <c r="R25" i="8" s="1"/>
  <c r="Q31" i="6"/>
  <c r="AP40" i="6"/>
  <c r="W31" i="8" s="1"/>
  <c r="T40" i="6"/>
  <c r="AC31" i="6"/>
  <c r="M25" i="8" s="1"/>
  <c r="AS31" i="6"/>
  <c r="Z25" i="8" s="1"/>
  <c r="P31" i="6"/>
  <c r="AE31" i="6"/>
  <c r="AG23" i="6"/>
  <c r="Q20" i="8" s="1"/>
  <c r="O23" i="6"/>
  <c r="Q23" i="6"/>
  <c r="S23" i="6"/>
  <c r="AD40" i="6"/>
  <c r="N31" i="8" s="1"/>
  <c r="AC23" i="6"/>
  <c r="M20" i="8" s="1"/>
  <c r="AH23" i="6"/>
  <c r="R20" i="8" s="1"/>
  <c r="AR40" i="6"/>
  <c r="Y31" i="8" s="1"/>
  <c r="AF23" i="6"/>
  <c r="P20" i="8" s="1"/>
  <c r="P54" i="8" s="1"/>
  <c r="AG40" i="6"/>
  <c r="Q31" i="8" s="1"/>
  <c r="AO23" i="6"/>
  <c r="V20" i="8" s="1"/>
  <c r="AT40" i="6"/>
  <c r="AA31" i="8" s="1"/>
  <c r="AF31" i="6"/>
  <c r="P25" i="8" s="1"/>
  <c r="AT23" i="6"/>
  <c r="AA20" i="8" s="1"/>
  <c r="AC40" i="6"/>
  <c r="M31" i="8" s="1"/>
  <c r="AS40" i="6"/>
  <c r="Z31" i="8" s="1"/>
  <c r="Z65" i="8" s="1"/>
  <c r="AR31" i="6"/>
  <c r="Y25" i="8" s="1"/>
  <c r="AD23" i="6"/>
  <c r="N20" i="8" s="1"/>
  <c r="AQ40" i="6"/>
  <c r="S31" i="6"/>
  <c r="AQ23" i="6"/>
  <c r="AH40" i="6"/>
  <c r="R31" i="8" s="1"/>
  <c r="AO40" i="6"/>
  <c r="V31" i="8" s="1"/>
  <c r="V65" i="8" s="1"/>
  <c r="AQ31" i="6"/>
  <c r="AS23" i="6"/>
  <c r="Z20" i="8" s="1"/>
  <c r="P40" i="6"/>
  <c r="R31" i="6"/>
  <c r="AP23" i="6"/>
  <c r="W20" i="8" s="1"/>
  <c r="T23" i="6"/>
  <c r="P23" i="6"/>
  <c r="C6" i="3"/>
  <c r="P59" i="8" l="1"/>
  <c r="AG50" i="8"/>
  <c r="L61" i="9" s="1"/>
  <c r="E59" i="8"/>
  <c r="L70" i="9"/>
  <c r="H58" i="8"/>
  <c r="N15" i="9" s="1"/>
  <c r="AI53" i="8"/>
  <c r="N64" i="9" s="1"/>
  <c r="G53" i="8"/>
  <c r="M13" i="9" s="1"/>
  <c r="AG42" i="8"/>
  <c r="L56" i="9" s="1"/>
  <c r="F42" i="8"/>
  <c r="L5" i="9" s="1"/>
  <c r="L73" i="9" s="1"/>
  <c r="H31" i="8"/>
  <c r="H65" i="8" s="1"/>
  <c r="AE53" i="8"/>
  <c r="J64" i="9" s="1"/>
  <c r="G41" i="8"/>
  <c r="M4" i="9" s="1"/>
  <c r="J80" i="9"/>
  <c r="K82" i="9"/>
  <c r="N80" i="9"/>
  <c r="L86" i="9"/>
  <c r="M85" i="9"/>
  <c r="J86" i="9"/>
  <c r="L82" i="9"/>
  <c r="N83" i="9"/>
  <c r="K85" i="9"/>
  <c r="J78" i="9"/>
  <c r="F51" i="8"/>
  <c r="L11" i="9" s="1"/>
  <c r="L79" i="9" s="1"/>
  <c r="AN46" i="8"/>
  <c r="AO53" i="8"/>
  <c r="AO20" i="8"/>
  <c r="AO54" i="8" s="1"/>
  <c r="AQ53" i="8"/>
  <c r="AQ20" i="8"/>
  <c r="AQ54" i="8" s="1"/>
  <c r="AN53" i="8"/>
  <c r="AN20" i="8"/>
  <c r="AR54" i="8"/>
  <c r="M80" i="9"/>
  <c r="H3" i="4"/>
  <c r="D6" i="4"/>
  <c r="C53" i="8"/>
  <c r="I13" i="9" s="1"/>
  <c r="I81" i="9" s="1"/>
  <c r="E6" i="4"/>
  <c r="AG63" i="8"/>
  <c r="L68" i="9" s="1"/>
  <c r="F6" i="4"/>
  <c r="I20" i="8"/>
  <c r="D53" i="8"/>
  <c r="J13" i="9" s="1"/>
  <c r="J81" i="9" s="1"/>
  <c r="M74" i="9"/>
  <c r="G6" i="4"/>
  <c r="AF57" i="8"/>
  <c r="K65" i="9" s="1"/>
  <c r="AD57" i="8"/>
  <c r="I65" i="9" s="1"/>
  <c r="L78" i="9"/>
  <c r="H59" i="8"/>
  <c r="AG51" i="8"/>
  <c r="L62" i="9" s="1"/>
  <c r="G51" i="8"/>
  <c r="M11" i="9" s="1"/>
  <c r="M79" i="9" s="1"/>
  <c r="H53" i="8"/>
  <c r="N13" i="9" s="1"/>
  <c r="N81" i="9" s="1"/>
  <c r="M73" i="9"/>
  <c r="F58" i="8"/>
  <c r="L15" i="9" s="1"/>
  <c r="I6" i="4"/>
  <c r="H6" i="4"/>
  <c r="Q42" i="6"/>
  <c r="AG64" i="8"/>
  <c r="L69" i="9" s="1"/>
  <c r="I30" i="4"/>
  <c r="F63" i="8"/>
  <c r="L17" i="9" s="1"/>
  <c r="L85" i="9" s="1"/>
  <c r="N84" i="9"/>
  <c r="J77" i="9"/>
  <c r="I5" i="4"/>
  <c r="Z54" i="8"/>
  <c r="Y59" i="8"/>
  <c r="Q54" i="8"/>
  <c r="M59" i="8"/>
  <c r="P46" i="8"/>
  <c r="V46" i="8"/>
  <c r="AI42" i="8"/>
  <c r="N56" i="9" s="1"/>
  <c r="BC23" i="6"/>
  <c r="AI20" i="8" s="1"/>
  <c r="AH43" i="8"/>
  <c r="M57" i="9" s="1"/>
  <c r="F20" i="8"/>
  <c r="I12" i="8"/>
  <c r="J74" i="9"/>
  <c r="AG40" i="8"/>
  <c r="L54" i="9" s="1"/>
  <c r="AF43" i="8"/>
  <c r="K57" i="9" s="1"/>
  <c r="G25" i="8"/>
  <c r="G59" i="8" s="1"/>
  <c r="AF63" i="8"/>
  <c r="K68" i="9" s="1"/>
  <c r="D41" i="8"/>
  <c r="J4" i="9" s="1"/>
  <c r="J72" i="9" s="1"/>
  <c r="E4" i="4"/>
  <c r="Y46" i="8"/>
  <c r="J85" i="9"/>
  <c r="D20" i="8"/>
  <c r="M72" i="9"/>
  <c r="H40" i="8"/>
  <c r="N3" i="9" s="1"/>
  <c r="N71" i="9" s="1"/>
  <c r="K86" i="9"/>
  <c r="K29" i="4"/>
  <c r="X20" i="8"/>
  <c r="X54" i="8" s="1"/>
  <c r="J27" i="4"/>
  <c r="O12" i="8"/>
  <c r="O46" i="8" s="1"/>
  <c r="AF58" i="8"/>
  <c r="K66" i="9" s="1"/>
  <c r="BA40" i="6"/>
  <c r="AG31" i="8" s="1"/>
  <c r="AG28" i="8"/>
  <c r="AG62" i="8" s="1"/>
  <c r="L67" i="9" s="1"/>
  <c r="BB23" i="6"/>
  <c r="AH20" i="8" s="1"/>
  <c r="AH54" i="8" s="1"/>
  <c r="AH19" i="8"/>
  <c r="AH53" i="8" s="1"/>
  <c r="M64" i="9" s="1"/>
  <c r="AE57" i="8"/>
  <c r="J65" i="9" s="1"/>
  <c r="AR17" i="6"/>
  <c r="P14" i="8"/>
  <c r="AS36" i="6"/>
  <c r="Z27" i="8" s="1"/>
  <c r="Q27" i="8"/>
  <c r="AO28" i="6"/>
  <c r="M22" i="8"/>
  <c r="BB28" i="6"/>
  <c r="W22" i="8"/>
  <c r="AI51" i="8"/>
  <c r="N62" i="9" s="1"/>
  <c r="AO36" i="6"/>
  <c r="M27" i="8"/>
  <c r="AZ36" i="6"/>
  <c r="U27" i="8"/>
  <c r="BD28" i="6"/>
  <c r="Y22" i="8"/>
  <c r="AI41" i="8"/>
  <c r="N55" i="9" s="1"/>
  <c r="AD39" i="8"/>
  <c r="I53" i="9" s="1"/>
  <c r="E39" i="8"/>
  <c r="K2" i="9" s="1"/>
  <c r="K70" i="9" s="1"/>
  <c r="E12" i="8"/>
  <c r="K27" i="4"/>
  <c r="X12" i="8"/>
  <c r="X46" i="8" s="1"/>
  <c r="AI63" i="8"/>
  <c r="N68" i="9" s="1"/>
  <c r="BB12" i="6"/>
  <c r="AH12" i="8" s="1"/>
  <c r="AH5" i="8"/>
  <c r="AY23" i="6"/>
  <c r="AE20" i="8" s="1"/>
  <c r="AE15" i="8"/>
  <c r="H51" i="8"/>
  <c r="N11" i="9" s="1"/>
  <c r="N79" i="9" s="1"/>
  <c r="J30" i="4"/>
  <c r="O31" i="8"/>
  <c r="O65" i="8" s="1"/>
  <c r="AT36" i="6"/>
  <c r="AA27" i="8" s="1"/>
  <c r="R27" i="8"/>
  <c r="AP36" i="6"/>
  <c r="N27" i="8"/>
  <c r="E62" i="8"/>
  <c r="K16" i="9" s="1"/>
  <c r="K84" i="9" s="1"/>
  <c r="E31" i="8"/>
  <c r="E65" i="8" s="1"/>
  <c r="Q57" i="8"/>
  <c r="N31" i="9" s="1"/>
  <c r="N82" i="9" s="1"/>
  <c r="H41" i="8"/>
  <c r="N4" i="9" s="1"/>
  <c r="N72" i="9" s="1"/>
  <c r="D39" i="8"/>
  <c r="J2" i="9" s="1"/>
  <c r="J70" i="9" s="1"/>
  <c r="D12" i="8"/>
  <c r="C39" i="8"/>
  <c r="I2" i="9" s="1"/>
  <c r="I70" i="9" s="1"/>
  <c r="AT17" i="6"/>
  <c r="AA14" i="8" s="1"/>
  <c r="R14" i="8"/>
  <c r="BC36" i="6"/>
  <c r="X27" i="8"/>
  <c r="AE58" i="8"/>
  <c r="J66" i="9" s="1"/>
  <c r="G12" i="8"/>
  <c r="AF62" i="8"/>
  <c r="K67" i="9" s="1"/>
  <c r="Q59" i="8"/>
  <c r="AI64" i="8"/>
  <c r="N69" i="9" s="1"/>
  <c r="AI50" i="8"/>
  <c r="N61" i="9" s="1"/>
  <c r="AF40" i="8"/>
  <c r="K54" i="9" s="1"/>
  <c r="AF50" i="8"/>
  <c r="K61" i="9" s="1"/>
  <c r="E5" i="4"/>
  <c r="Q65" i="8"/>
  <c r="M54" i="8"/>
  <c r="Z59" i="8"/>
  <c r="BD12" i="6"/>
  <c r="AJ12" i="8" s="1"/>
  <c r="AD53" i="8"/>
  <c r="I64" i="9" s="1"/>
  <c r="AE62" i="8"/>
  <c r="J67" i="9" s="1"/>
  <c r="BB40" i="6"/>
  <c r="AH31" i="8" s="1"/>
  <c r="N73" i="9"/>
  <c r="P65" i="8"/>
  <c r="AI49" i="8"/>
  <c r="N60" i="9" s="1"/>
  <c r="K83" i="9"/>
  <c r="F59" i="8"/>
  <c r="D59" i="8"/>
  <c r="AR53" i="8"/>
  <c r="AH49" i="8"/>
  <c r="M60" i="9" s="1"/>
  <c r="AH42" i="8"/>
  <c r="M56" i="9" s="1"/>
  <c r="N86" i="9"/>
  <c r="L71" i="9"/>
  <c r="H50" i="8"/>
  <c r="N10" i="9" s="1"/>
  <c r="N78" i="9" s="1"/>
  <c r="E43" i="8"/>
  <c r="K6" i="9" s="1"/>
  <c r="K74" i="9" s="1"/>
  <c r="E40" i="8"/>
  <c r="K3" i="9" s="1"/>
  <c r="K71" i="9" s="1"/>
  <c r="AF53" i="8"/>
  <c r="K64" i="9" s="1"/>
  <c r="K77" i="9"/>
  <c r="AP53" i="8"/>
  <c r="AR36" i="6"/>
  <c r="P27" i="8"/>
  <c r="K30" i="4"/>
  <c r="X31" i="8"/>
  <c r="X65" i="8" s="1"/>
  <c r="J29" i="4"/>
  <c r="O20" i="8"/>
  <c r="O54" i="8" s="1"/>
  <c r="BB31" i="6"/>
  <c r="AH25" i="8" s="1"/>
  <c r="AH23" i="8"/>
  <c r="AY12" i="6"/>
  <c r="AE12" i="8" s="1"/>
  <c r="AE7" i="8"/>
  <c r="BD23" i="6"/>
  <c r="AJ20" i="8" s="1"/>
  <c r="AJ18" i="8"/>
  <c r="AI52" i="8" s="1"/>
  <c r="N63" i="9" s="1"/>
  <c r="BC40" i="6"/>
  <c r="AI31" i="8" s="1"/>
  <c r="AI28" i="8"/>
  <c r="AI62" i="8" s="1"/>
  <c r="N67" i="9" s="1"/>
  <c r="BD31" i="6"/>
  <c r="AJ25" i="8" s="1"/>
  <c r="AJ23" i="8"/>
  <c r="P62" i="8"/>
  <c r="M33" i="9" s="1"/>
  <c r="H49" i="8"/>
  <c r="N9" i="9" s="1"/>
  <c r="N77" i="9" s="1"/>
  <c r="H20" i="8"/>
  <c r="H54" i="8" s="1"/>
  <c r="AN28" i="6"/>
  <c r="L22" i="8"/>
  <c r="AQ17" i="6"/>
  <c r="O14" i="8"/>
  <c r="AS28" i="6"/>
  <c r="Z22" i="8" s="1"/>
  <c r="Q22" i="8"/>
  <c r="AH50" i="8"/>
  <c r="M61" i="9" s="1"/>
  <c r="BA17" i="6"/>
  <c r="V14" i="8"/>
  <c r="G49" i="8"/>
  <c r="M9" i="9" s="1"/>
  <c r="M77" i="9" s="1"/>
  <c r="G20" i="8"/>
  <c r="AG43" i="8"/>
  <c r="L57" i="9" s="1"/>
  <c r="AF52" i="8"/>
  <c r="K63" i="9" s="1"/>
  <c r="AE51" i="8"/>
  <c r="J62" i="9" s="1"/>
  <c r="AF42" i="8"/>
  <c r="K56" i="9" s="1"/>
  <c r="F53" i="8"/>
  <c r="L13" i="9" s="1"/>
  <c r="L81" i="9" s="1"/>
  <c r="M65" i="8"/>
  <c r="V54" i="8"/>
  <c r="M46" i="8"/>
  <c r="AG57" i="8"/>
  <c r="L65" i="9" s="1"/>
  <c r="AE50" i="8"/>
  <c r="J61" i="9" s="1"/>
  <c r="AI43" i="8"/>
  <c r="N57" i="9" s="1"/>
  <c r="L83" i="9"/>
  <c r="F52" i="8"/>
  <c r="L12" i="9" s="1"/>
  <c r="L80" i="9" s="1"/>
  <c r="V59" i="8"/>
  <c r="M81" i="9"/>
  <c r="F41" i="8"/>
  <c r="L4" i="9" s="1"/>
  <c r="L72" i="9" s="1"/>
  <c r="L77" i="9"/>
  <c r="AH51" i="8"/>
  <c r="M62" i="9" s="1"/>
  <c r="N85" i="9"/>
  <c r="O62" i="8"/>
  <c r="L33" i="9" s="1"/>
  <c r="L84" i="9" s="1"/>
  <c r="G40" i="8"/>
  <c r="M3" i="9" s="1"/>
  <c r="M71" i="9" s="1"/>
  <c r="M70" i="9"/>
  <c r="H39" i="8"/>
  <c r="N2" i="9" s="1"/>
  <c r="N70" i="9" s="1"/>
  <c r="AH63" i="8"/>
  <c r="M68" i="9" s="1"/>
  <c r="AH58" i="8"/>
  <c r="M66" i="9" s="1"/>
  <c r="AE40" i="8"/>
  <c r="J54" i="9" s="1"/>
  <c r="AF51" i="8"/>
  <c r="K62" i="9" s="1"/>
  <c r="E20" i="8"/>
  <c r="K28" i="4"/>
  <c r="X25" i="8"/>
  <c r="X59" i="8" s="1"/>
  <c r="J28" i="4"/>
  <c r="O25" i="8"/>
  <c r="O59" i="8" s="1"/>
  <c r="AZ23" i="6"/>
  <c r="AF20" i="8" s="1"/>
  <c r="AF15" i="8"/>
  <c r="AF49" i="8" s="1"/>
  <c r="K60" i="9" s="1"/>
  <c r="AE63" i="8"/>
  <c r="J68" i="9" s="1"/>
  <c r="BC31" i="6"/>
  <c r="AI25" i="8" s="1"/>
  <c r="AI23" i="8"/>
  <c r="AG49" i="8"/>
  <c r="L60" i="9" s="1"/>
  <c r="AZ40" i="6"/>
  <c r="AF31" i="8" s="1"/>
  <c r="AF65" i="8" s="1"/>
  <c r="AF30" i="8"/>
  <c r="AE64" i="8" s="1"/>
  <c r="J69" i="9" s="1"/>
  <c r="AH40" i="8"/>
  <c r="M54" i="9" s="1"/>
  <c r="V57" i="8"/>
  <c r="J48" i="9" s="1"/>
  <c r="J82" i="9" s="1"/>
  <c r="G50" i="8"/>
  <c r="M10" i="9" s="1"/>
  <c r="M78" i="9" s="1"/>
  <c r="AN17" i="6"/>
  <c r="L14" i="8"/>
  <c r="AQ28" i="6"/>
  <c r="O22" i="8"/>
  <c r="G62" i="8"/>
  <c r="M16" i="9" s="1"/>
  <c r="G31" i="8"/>
  <c r="F43" i="8"/>
  <c r="L6" i="9" s="1"/>
  <c r="L74" i="9" s="1"/>
  <c r="E52" i="8"/>
  <c r="K12" i="9" s="1"/>
  <c r="K80" i="9" s="1"/>
  <c r="D51" i="8"/>
  <c r="J11" i="9" s="1"/>
  <c r="J79" i="9" s="1"/>
  <c r="E42" i="8"/>
  <c r="K5" i="9" s="1"/>
  <c r="K73" i="9" s="1"/>
  <c r="AZ12" i="6"/>
  <c r="AF12" i="8" s="1"/>
  <c r="AF5" i="8"/>
  <c r="AF39" i="8" s="1"/>
  <c r="K53" i="9" s="1"/>
  <c r="AP17" i="6"/>
  <c r="N14" i="8"/>
  <c r="Y54" i="8"/>
  <c r="M86" i="9"/>
  <c r="Y65" i="8"/>
  <c r="W59" i="8"/>
  <c r="Z46" i="8"/>
  <c r="Q46" i="8"/>
  <c r="AH64" i="8"/>
  <c r="M69" i="9" s="1"/>
  <c r="K72" i="9"/>
  <c r="AM53" i="8"/>
  <c r="I82" i="9"/>
  <c r="F12" i="8"/>
  <c r="N74" i="9"/>
  <c r="AH41" i="8"/>
  <c r="M55" i="9" s="1"/>
  <c r="AH52" i="8"/>
  <c r="M63" i="9" s="1"/>
  <c r="AE43" i="8"/>
  <c r="J57" i="9" s="1"/>
  <c r="H12" i="8"/>
  <c r="H46" i="8" s="1"/>
  <c r="M83" i="9"/>
  <c r="J73" i="9"/>
  <c r="D40" i="8"/>
  <c r="J3" i="9" s="1"/>
  <c r="J71" i="9" s="1"/>
  <c r="E51" i="8"/>
  <c r="K11" i="9" s="1"/>
  <c r="K79" i="9" s="1"/>
  <c r="K81" i="9"/>
  <c r="M82" i="9"/>
  <c r="AI40" i="8"/>
  <c r="N54" i="9" s="1"/>
  <c r="F4" i="4"/>
  <c r="I28" i="4"/>
  <c r="I4" i="4"/>
  <c r="D5" i="4"/>
  <c r="G5" i="4"/>
  <c r="G3" i="4"/>
  <c r="E3" i="4"/>
  <c r="BA12" i="6"/>
  <c r="AG12" i="8" s="1"/>
  <c r="AG46" i="8" s="1"/>
  <c r="AY40" i="6"/>
  <c r="AE31" i="8" s="1"/>
  <c r="BA31" i="6"/>
  <c r="AG25" i="8" s="1"/>
  <c r="AG59" i="8" s="1"/>
  <c r="I3" i="4"/>
  <c r="D3" i="4"/>
  <c r="AZ31" i="6"/>
  <c r="AF25" i="8" s="1"/>
  <c r="BC12" i="6"/>
  <c r="AI12" i="8" s="1"/>
  <c r="AI46" i="8" s="1"/>
  <c r="BD40" i="6"/>
  <c r="AJ31" i="8" s="1"/>
  <c r="D4" i="4"/>
  <c r="D11" i="4" s="1"/>
  <c r="I27" i="4"/>
  <c r="F3" i="4"/>
  <c r="I29" i="4"/>
  <c r="F5" i="4"/>
  <c r="G4" i="4"/>
  <c r="H4" i="4"/>
  <c r="H5" i="4"/>
  <c r="BA23" i="6"/>
  <c r="AG20" i="8" s="1"/>
  <c r="AY31" i="6"/>
  <c r="AE25" i="8" s="1"/>
  <c r="AE59" i="8" s="1"/>
  <c r="Q14" i="6"/>
  <c r="AQ14" i="6"/>
  <c r="AE33" i="6"/>
  <c r="AQ25" i="6"/>
  <c r="Q25" i="6"/>
  <c r="AE25" i="6"/>
  <c r="AQ33" i="6"/>
  <c r="Q33" i="6"/>
  <c r="AQ42" i="6"/>
  <c r="AE14" i="6"/>
  <c r="E86" i="2"/>
  <c r="F54" i="8" l="1"/>
  <c r="N46" i="8"/>
  <c r="E54" i="8"/>
  <c r="G54" i="8"/>
  <c r="W54" i="8"/>
  <c r="H11" i="4"/>
  <c r="G65" i="8"/>
  <c r="K31" i="4"/>
  <c r="AN54" i="8"/>
  <c r="AP54" i="8"/>
  <c r="G11" i="4"/>
  <c r="W65" i="8"/>
  <c r="W46" i="8"/>
  <c r="D13" i="4"/>
  <c r="H12" i="4"/>
  <c r="D12" i="4"/>
  <c r="F46" i="8"/>
  <c r="N65" i="8"/>
  <c r="AH62" i="8"/>
  <c r="M67" i="9" s="1"/>
  <c r="AI54" i="8"/>
  <c r="AG54" i="8"/>
  <c r="E12" i="4"/>
  <c r="AI59" i="8"/>
  <c r="H13" i="4"/>
  <c r="AF54" i="8"/>
  <c r="E46" i="8"/>
  <c r="AH39" i="8"/>
  <c r="M53" i="9" s="1"/>
  <c r="BB17" i="6"/>
  <c r="W14" i="8"/>
  <c r="AF64" i="8"/>
  <c r="K69" i="9" s="1"/>
  <c r="AI57" i="8"/>
  <c r="N65" i="9" s="1"/>
  <c r="BB36" i="6"/>
  <c r="W27" i="8"/>
  <c r="BA36" i="6"/>
  <c r="V27" i="8"/>
  <c r="AF59" i="8"/>
  <c r="AH57" i="8"/>
  <c r="M65" i="9" s="1"/>
  <c r="D65" i="8"/>
  <c r="AG39" i="8"/>
  <c r="L53" i="9" s="1"/>
  <c r="AE54" i="8"/>
  <c r="AE39" i="8"/>
  <c r="J53" i="9" s="1"/>
  <c r="AG65" i="8"/>
  <c r="J31" i="4"/>
  <c r="BC28" i="6"/>
  <c r="X22" i="8"/>
  <c r="AZ28" i="6"/>
  <c r="U22" i="8"/>
  <c r="BD36" i="6"/>
  <c r="Y27" i="8"/>
  <c r="M84" i="9"/>
  <c r="AH59" i="8"/>
  <c r="G13" i="4"/>
  <c r="AE65" i="8"/>
  <c r="F65" i="8"/>
  <c r="AI65" i="8"/>
  <c r="AE46" i="8"/>
  <c r="AH65" i="8"/>
  <c r="D54" i="8"/>
  <c r="D46" i="8"/>
  <c r="AE49" i="8"/>
  <c r="J60" i="9" s="1"/>
  <c r="AG53" i="8"/>
  <c r="L64" i="9" s="1"/>
  <c r="AZ17" i="6"/>
  <c r="U14" i="8"/>
  <c r="BC17" i="6"/>
  <c r="X14" i="8"/>
  <c r="AE41" i="8"/>
  <c r="J55" i="9" s="1"/>
  <c r="BA28" i="6"/>
  <c r="V22" i="8"/>
  <c r="BD17" i="6"/>
  <c r="Y14" i="8"/>
  <c r="AF46" i="8"/>
  <c r="N59" i="8"/>
  <c r="N54" i="8"/>
  <c r="G46" i="8"/>
  <c r="AH46" i="8"/>
  <c r="H27" i="4"/>
  <c r="F10" i="4"/>
  <c r="F7" i="4"/>
  <c r="G10" i="4"/>
  <c r="G7" i="4"/>
  <c r="G12" i="4"/>
  <c r="I7" i="4"/>
  <c r="H29" i="4"/>
  <c r="F12" i="4"/>
  <c r="D10" i="4"/>
  <c r="D7" i="4"/>
  <c r="E13" i="4"/>
  <c r="H30" i="4"/>
  <c r="F13" i="4"/>
  <c r="H28" i="4"/>
  <c r="F11" i="4"/>
  <c r="E10" i="4"/>
  <c r="E7" i="4"/>
  <c r="H7" i="4"/>
  <c r="H14" i="4" s="1"/>
  <c r="H10" i="4"/>
  <c r="I31" i="4"/>
  <c r="E11" i="4"/>
  <c r="E83" i="2"/>
  <c r="F83" i="2" s="1"/>
  <c r="G83" i="2" s="1"/>
  <c r="F86" i="2"/>
  <c r="G86" i="2" s="1"/>
  <c r="E14" i="4" l="1"/>
  <c r="G14" i="4"/>
  <c r="H31" i="4"/>
  <c r="H32" i="4" s="1"/>
  <c r="F14" i="4"/>
  <c r="D14" i="4"/>
  <c r="E8" i="2"/>
  <c r="F8" i="2"/>
  <c r="G8" i="2"/>
  <c r="H8" i="2"/>
  <c r="I8" i="2"/>
  <c r="D8" i="2"/>
  <c r="E31" i="2"/>
  <c r="F31" i="2"/>
  <c r="G31" i="2"/>
  <c r="H31" i="2"/>
  <c r="I31" i="2"/>
  <c r="D31" i="2"/>
  <c r="E87" i="2" s="1"/>
  <c r="E24" i="2"/>
  <c r="F24" i="2"/>
  <c r="G24" i="2"/>
  <c r="H24" i="2"/>
  <c r="I24" i="2"/>
  <c r="D24" i="2"/>
  <c r="E17" i="2"/>
  <c r="F17" i="2"/>
  <c r="G17" i="2"/>
  <c r="H17" i="2"/>
  <c r="I17" i="2"/>
  <c r="D17" i="2"/>
  <c r="E84" i="2" l="1"/>
  <c r="F84" i="2" s="1"/>
  <c r="G84" i="2" s="1"/>
  <c r="C17" i="2" s="1"/>
  <c r="F87" i="2"/>
  <c r="G87" i="2" s="1"/>
  <c r="C31" i="2" s="1"/>
  <c r="C29" i="2" s="1"/>
  <c r="C39" i="6" s="1"/>
  <c r="AM30" i="8" s="1"/>
  <c r="AM64" i="8" s="1"/>
  <c r="E85" i="2"/>
  <c r="F85" i="2" s="1"/>
  <c r="G85" i="2" s="1"/>
  <c r="C24" i="2" s="1"/>
  <c r="C21" i="2" s="1"/>
  <c r="C8" i="6" s="1"/>
  <c r="AM8" i="8" s="1"/>
  <c r="AM42" i="8" s="1"/>
  <c r="E88" i="2"/>
  <c r="F88" i="2" s="1"/>
  <c r="G88" i="2" s="1"/>
  <c r="C8" i="2" s="1"/>
  <c r="C6" i="2" s="1"/>
  <c r="C7" i="6" s="1"/>
  <c r="AM7" i="8" s="1"/>
  <c r="AM41" i="8" s="1"/>
  <c r="C13" i="2" l="1"/>
  <c r="C30" i="6" s="1"/>
  <c r="AM24" i="8" s="1"/>
  <c r="C30" i="2"/>
  <c r="C21" i="6" s="1"/>
  <c r="AN21" i="6" s="1"/>
  <c r="U18" i="8" s="1"/>
  <c r="U52" i="8" s="1"/>
  <c r="I46" i="9" s="1"/>
  <c r="AN7" i="6"/>
  <c r="U7" i="8" s="1"/>
  <c r="U41" i="8" s="1"/>
  <c r="I38" i="9" s="1"/>
  <c r="N7" i="6"/>
  <c r="C7" i="8" s="1"/>
  <c r="C41" i="8" s="1"/>
  <c r="I4" i="9" s="1"/>
  <c r="AB7" i="6"/>
  <c r="L7" i="8" s="1"/>
  <c r="L41" i="8" s="1"/>
  <c r="I21" i="9" s="1"/>
  <c r="C7" i="2"/>
  <c r="C20" i="6" s="1"/>
  <c r="AM17" i="8" s="1"/>
  <c r="AM51" i="8" s="1"/>
  <c r="N39" i="6"/>
  <c r="C30" i="8" s="1"/>
  <c r="C64" i="8" s="1"/>
  <c r="I18" i="9" s="1"/>
  <c r="AB39" i="6"/>
  <c r="L30" i="8" s="1"/>
  <c r="L64" i="8" s="1"/>
  <c r="I35" i="9" s="1"/>
  <c r="AN39" i="6"/>
  <c r="U30" i="8" s="1"/>
  <c r="U64" i="8" s="1"/>
  <c r="I52" i="9" s="1"/>
  <c r="N8" i="6"/>
  <c r="C8" i="8" s="1"/>
  <c r="C42" i="8" s="1"/>
  <c r="I5" i="9" s="1"/>
  <c r="AN8" i="6"/>
  <c r="U8" i="8" s="1"/>
  <c r="U42" i="8" s="1"/>
  <c r="I39" i="9" s="1"/>
  <c r="AB8" i="6"/>
  <c r="L8" i="8" s="1"/>
  <c r="L42" i="8" s="1"/>
  <c r="I22" i="9" s="1"/>
  <c r="C28" i="2"/>
  <c r="C9" i="6" s="1"/>
  <c r="AM9" i="8" s="1"/>
  <c r="AM43" i="8" s="1"/>
  <c r="C14" i="2"/>
  <c r="C37" i="6" s="1"/>
  <c r="AM28" i="8" s="1"/>
  <c r="C23" i="2"/>
  <c r="C19" i="6" s="1"/>
  <c r="AM16" i="8" s="1"/>
  <c r="AM50" i="8" s="1"/>
  <c r="C22" i="2"/>
  <c r="C38" i="6" s="1"/>
  <c r="AM29" i="8" s="1"/>
  <c r="AM63" i="8" s="1"/>
  <c r="C15" i="2"/>
  <c r="C18" i="6" s="1"/>
  <c r="AM15" i="8" s="1"/>
  <c r="C12" i="2"/>
  <c r="C6" i="6" s="1"/>
  <c r="AM6" i="8" s="1"/>
  <c r="AM40" i="8" l="1"/>
  <c r="AM12" i="8"/>
  <c r="AM46" i="8" s="1"/>
  <c r="AM62" i="8"/>
  <c r="AM31" i="8"/>
  <c r="AM65" i="8" s="1"/>
  <c r="AM49" i="8"/>
  <c r="AM58" i="8"/>
  <c r="AM25" i="8"/>
  <c r="AM59" i="8" s="1"/>
  <c r="I72" i="9"/>
  <c r="I73" i="9"/>
  <c r="N21" i="6"/>
  <c r="C18" i="8" s="1"/>
  <c r="C52" i="8" s="1"/>
  <c r="I12" i="9" s="1"/>
  <c r="AM18" i="8"/>
  <c r="AM52" i="8" s="1"/>
  <c r="I86" i="9"/>
  <c r="AX8" i="6"/>
  <c r="AD8" i="8" s="1"/>
  <c r="AD42" i="8" s="1"/>
  <c r="I56" i="9" s="1"/>
  <c r="AX39" i="6"/>
  <c r="AD30" i="8" s="1"/>
  <c r="AD64" i="8" s="1"/>
  <c r="I69" i="9" s="1"/>
  <c r="AX7" i="6"/>
  <c r="AD7" i="8" s="1"/>
  <c r="AD41" i="8" s="1"/>
  <c r="I55" i="9" s="1"/>
  <c r="N30" i="6"/>
  <c r="C24" i="8" s="1"/>
  <c r="AN30" i="6"/>
  <c r="AB30" i="6"/>
  <c r="AB21" i="6"/>
  <c r="AB6" i="6"/>
  <c r="L6" i="8" s="1"/>
  <c r="N6" i="6"/>
  <c r="C6" i="8" s="1"/>
  <c r="AN6" i="6"/>
  <c r="U6" i="8" s="1"/>
  <c r="T67" i="6"/>
  <c r="V67" i="6" s="1"/>
  <c r="W67" i="6" s="1"/>
  <c r="S67" i="6"/>
  <c r="AN19" i="6"/>
  <c r="U16" i="8" s="1"/>
  <c r="N19" i="6"/>
  <c r="C16" i="8" s="1"/>
  <c r="AB19" i="6"/>
  <c r="L16" i="8" s="1"/>
  <c r="N20" i="6"/>
  <c r="AN20" i="6"/>
  <c r="U17" i="8" s="1"/>
  <c r="U51" i="8" s="1"/>
  <c r="I45" i="9" s="1"/>
  <c r="AB20" i="6"/>
  <c r="L17" i="8" s="1"/>
  <c r="L51" i="8" s="1"/>
  <c r="I28" i="9" s="1"/>
  <c r="AB18" i="6"/>
  <c r="L15" i="8" s="1"/>
  <c r="L49" i="8" s="1"/>
  <c r="I26" i="9" s="1"/>
  <c r="AN18" i="6"/>
  <c r="U15" i="8" s="1"/>
  <c r="U49" i="8" s="1"/>
  <c r="I43" i="9" s="1"/>
  <c r="N18" i="6"/>
  <c r="C15" i="8" s="1"/>
  <c r="N37" i="6"/>
  <c r="C28" i="8" s="1"/>
  <c r="AN37" i="6"/>
  <c r="U28" i="8" s="1"/>
  <c r="AB37" i="6"/>
  <c r="L28" i="8" s="1"/>
  <c r="N38" i="6"/>
  <c r="C29" i="8" s="1"/>
  <c r="C63" i="8" s="1"/>
  <c r="I17" i="9" s="1"/>
  <c r="AB38" i="6"/>
  <c r="L29" i="8" s="1"/>
  <c r="L63" i="8" s="1"/>
  <c r="I34" i="9" s="1"/>
  <c r="AN38" i="6"/>
  <c r="U29" i="8" s="1"/>
  <c r="U63" i="8" s="1"/>
  <c r="I51" i="9" s="1"/>
  <c r="AN9" i="6"/>
  <c r="U9" i="8" s="1"/>
  <c r="U43" i="8" s="1"/>
  <c r="I40" i="9" s="1"/>
  <c r="AB9" i="6"/>
  <c r="L9" i="8" s="1"/>
  <c r="L43" i="8" s="1"/>
  <c r="I23" i="9" s="1"/>
  <c r="N9" i="6"/>
  <c r="C9" i="8" s="1"/>
  <c r="C43" i="8" s="1"/>
  <c r="I6" i="9" s="1"/>
  <c r="AM20" i="8" l="1"/>
  <c r="AM54" i="8" s="1"/>
  <c r="I85" i="9"/>
  <c r="C49" i="8"/>
  <c r="I9" i="9" s="1"/>
  <c r="I77" i="9" s="1"/>
  <c r="U50" i="8"/>
  <c r="I44" i="9" s="1"/>
  <c r="AN31" i="6"/>
  <c r="U24" i="8"/>
  <c r="U58" i="8" s="1"/>
  <c r="I49" i="9" s="1"/>
  <c r="C62" i="8"/>
  <c r="I16" i="9" s="1"/>
  <c r="C31" i="8"/>
  <c r="C65" i="8" s="1"/>
  <c r="C50" i="8"/>
  <c r="I10" i="9" s="1"/>
  <c r="U40" i="8"/>
  <c r="I37" i="9" s="1"/>
  <c r="AB31" i="6"/>
  <c r="L25" i="8" s="1"/>
  <c r="L59" i="8" s="1"/>
  <c r="L24" i="8"/>
  <c r="L58" i="8" s="1"/>
  <c r="I32" i="9" s="1"/>
  <c r="I74" i="9"/>
  <c r="C40" i="8"/>
  <c r="I3" i="9" s="1"/>
  <c r="C12" i="8"/>
  <c r="C46" i="8" s="1"/>
  <c r="U62" i="8"/>
  <c r="I50" i="9" s="1"/>
  <c r="L50" i="8"/>
  <c r="I27" i="9" s="1"/>
  <c r="AX21" i="6"/>
  <c r="AD18" i="8" s="1"/>
  <c r="AD52" i="8" s="1"/>
  <c r="I63" i="9" s="1"/>
  <c r="L18" i="8"/>
  <c r="L52" i="8" s="1"/>
  <c r="I29" i="9" s="1"/>
  <c r="I80" i="9" s="1"/>
  <c r="L62" i="8"/>
  <c r="I33" i="9" s="1"/>
  <c r="AX20" i="6"/>
  <c r="AD17" i="8" s="1"/>
  <c r="AD51" i="8" s="1"/>
  <c r="I62" i="9" s="1"/>
  <c r="C17" i="8"/>
  <c r="C51" i="8" s="1"/>
  <c r="I11" i="9" s="1"/>
  <c r="I79" i="9" s="1"/>
  <c r="L40" i="8"/>
  <c r="I20" i="9" s="1"/>
  <c r="C58" i="8"/>
  <c r="I15" i="9" s="1"/>
  <c r="C25" i="8"/>
  <c r="C59" i="8" s="1"/>
  <c r="N31" i="6"/>
  <c r="AX30" i="6"/>
  <c r="AX18" i="6"/>
  <c r="AD15" i="8" s="1"/>
  <c r="AD49" i="8" s="1"/>
  <c r="I60" i="9" s="1"/>
  <c r="AX6" i="6"/>
  <c r="AX38" i="6"/>
  <c r="AD29" i="8" s="1"/>
  <c r="AD63" i="8" s="1"/>
  <c r="I68" i="9" s="1"/>
  <c r="AX9" i="6"/>
  <c r="AD9" i="8" s="1"/>
  <c r="AD43" i="8" s="1"/>
  <c r="I57" i="9" s="1"/>
  <c r="AX37" i="6"/>
  <c r="AX19" i="6"/>
  <c r="AD16" i="8" s="1"/>
  <c r="AN33" i="6"/>
  <c r="N12" i="6"/>
  <c r="AB12" i="6"/>
  <c r="AN12" i="6"/>
  <c r="AB23" i="6"/>
  <c r="AN40" i="6"/>
  <c r="N40" i="6"/>
  <c r="N23" i="6"/>
  <c r="AB40" i="6"/>
  <c r="AN23" i="6"/>
  <c r="J19" i="4" l="1"/>
  <c r="C6" i="4"/>
  <c r="AB33" i="6"/>
  <c r="I83" i="9"/>
  <c r="I71" i="9"/>
  <c r="I84" i="9"/>
  <c r="I78" i="9"/>
  <c r="J21" i="4"/>
  <c r="L31" i="8"/>
  <c r="L65" i="8" s="1"/>
  <c r="K19" i="4"/>
  <c r="U25" i="8"/>
  <c r="U59" i="8" s="1"/>
  <c r="K20" i="4"/>
  <c r="U20" i="8"/>
  <c r="U54" i="8" s="1"/>
  <c r="K21" i="4"/>
  <c r="U31" i="8"/>
  <c r="U65" i="8" s="1"/>
  <c r="C20" i="8"/>
  <c r="C54" i="8" s="1"/>
  <c r="J18" i="4"/>
  <c r="L12" i="8"/>
  <c r="L46" i="8" s="1"/>
  <c r="AX40" i="6"/>
  <c r="AD31" i="8" s="1"/>
  <c r="AD65" i="8" s="1"/>
  <c r="AD28" i="8"/>
  <c r="J20" i="4"/>
  <c r="L20" i="8"/>
  <c r="L54" i="8" s="1"/>
  <c r="K18" i="4"/>
  <c r="U12" i="8"/>
  <c r="U46" i="8" s="1"/>
  <c r="AD50" i="8"/>
  <c r="I61" i="9" s="1"/>
  <c r="AX12" i="6"/>
  <c r="AD12" i="8" s="1"/>
  <c r="AD46" i="8" s="1"/>
  <c r="AD6" i="8"/>
  <c r="AX31" i="6"/>
  <c r="AD25" i="8" s="1"/>
  <c r="AD59" i="8" s="1"/>
  <c r="AD24" i="8"/>
  <c r="AD58" i="8" s="1"/>
  <c r="I66" i="9" s="1"/>
  <c r="AX23" i="6"/>
  <c r="AD20" i="8" s="1"/>
  <c r="AD54" i="8" s="1"/>
  <c r="I20" i="4"/>
  <c r="C5" i="4"/>
  <c r="I21" i="4"/>
  <c r="C4" i="4"/>
  <c r="I19" i="4"/>
  <c r="N33" i="6"/>
  <c r="C3" i="4"/>
  <c r="I18" i="4"/>
  <c r="AB14" i="6"/>
  <c r="N14" i="6"/>
  <c r="AN14" i="6"/>
  <c r="AN25" i="6"/>
  <c r="AB42" i="6"/>
  <c r="N25" i="6"/>
  <c r="N42" i="6"/>
  <c r="AB25" i="6"/>
  <c r="AN42" i="6"/>
  <c r="C10" i="4" l="1"/>
  <c r="C7" i="4"/>
  <c r="K22" i="4"/>
  <c r="AD40" i="8"/>
  <c r="I54" i="9" s="1"/>
  <c r="AD62" i="8"/>
  <c r="I67" i="9" s="1"/>
  <c r="I22" i="4"/>
  <c r="J22" i="4"/>
  <c r="H18" i="4"/>
  <c r="H19" i="4"/>
  <c r="C11" i="4"/>
  <c r="H20" i="4"/>
  <c r="C12" i="4"/>
  <c r="H21" i="4"/>
  <c r="C13" i="4"/>
  <c r="H22" i="4" l="1"/>
  <c r="H23" i="4" s="1"/>
  <c r="C14" i="4"/>
</calcChain>
</file>

<file path=xl/sharedStrings.xml><?xml version="1.0" encoding="utf-8"?>
<sst xmlns="http://schemas.openxmlformats.org/spreadsheetml/2006/main" count="1396" uniqueCount="221">
  <si>
    <t xml:space="preserve">Road </t>
  </si>
  <si>
    <t>Rail</t>
  </si>
  <si>
    <t>Aviation</t>
  </si>
  <si>
    <t xml:space="preserve">Navigation </t>
  </si>
  <si>
    <t xml:space="preserve">Total </t>
  </si>
  <si>
    <t>Emissions</t>
  </si>
  <si>
    <t xml:space="preserve">Million Tons of CO2eq </t>
  </si>
  <si>
    <t>Million Tons of CO2</t>
  </si>
  <si>
    <t xml:space="preserve">Energy Conusmption </t>
  </si>
  <si>
    <t>PJ</t>
  </si>
  <si>
    <t xml:space="preserve">Diesel </t>
  </si>
  <si>
    <t>Petrol</t>
  </si>
  <si>
    <t>ATF</t>
  </si>
  <si>
    <t>Rest (Coal, Kerosene, LDO, FO, CNG and LPG)</t>
  </si>
  <si>
    <t>Percentage share</t>
  </si>
  <si>
    <t>Tier Used</t>
  </si>
  <si>
    <t>Emission factors used</t>
  </si>
  <si>
    <t>Tier II</t>
  </si>
  <si>
    <t>CS+D</t>
  </si>
  <si>
    <t>Tier I</t>
  </si>
  <si>
    <t>D</t>
  </si>
  <si>
    <t xml:space="preserve">Fuel </t>
  </si>
  <si>
    <t xml:space="preserve">Gasoline </t>
  </si>
  <si>
    <t>LPG</t>
  </si>
  <si>
    <t>Other Kerosene</t>
  </si>
  <si>
    <t>Natural Gas (CNG)</t>
  </si>
  <si>
    <t>2007-08</t>
  </si>
  <si>
    <t>2008-09</t>
  </si>
  <si>
    <t>2009-10</t>
  </si>
  <si>
    <t>2010-11</t>
  </si>
  <si>
    <t>2011-12</t>
  </si>
  <si>
    <t>2012-13</t>
  </si>
  <si>
    <t>Railways</t>
  </si>
  <si>
    <t>LPG (000 Tonnes)</t>
  </si>
  <si>
    <t>Road Transport</t>
  </si>
  <si>
    <t>HSDO</t>
  </si>
  <si>
    <t xml:space="preserve">Source: </t>
  </si>
  <si>
    <t>HSDO (000 Tonnes)</t>
  </si>
  <si>
    <t xml:space="preserve">Aviation </t>
  </si>
  <si>
    <t>Shipping</t>
  </si>
  <si>
    <t>LDO (000 Tonnes)</t>
  </si>
  <si>
    <t>Furnace Oil (000 Tonnes)</t>
  </si>
  <si>
    <t>International and Coastal Bunkers</t>
  </si>
  <si>
    <t>FO</t>
  </si>
  <si>
    <t>LDO</t>
  </si>
  <si>
    <t>International Bunkers (000 Tonnes)</t>
  </si>
  <si>
    <t>Coastal Bunkers (000 Tonnes)</t>
  </si>
  <si>
    <t>Motor Spirit</t>
  </si>
  <si>
    <t>Motor Spirit (000 Tonnes)</t>
  </si>
  <si>
    <t>ATF (000 Tonnes)</t>
  </si>
  <si>
    <t xml:space="preserve">Motor Spirit and ATF Consumption </t>
  </si>
  <si>
    <t xml:space="preserve">HSDO </t>
  </si>
  <si>
    <t>2006-07</t>
  </si>
  <si>
    <t>Total LDO (000 Tonnes)</t>
  </si>
  <si>
    <t>Total FO (000 Tonnes)</t>
  </si>
  <si>
    <t>Total LPG (000 Tonnes)</t>
  </si>
  <si>
    <t>NCV (Tj/kt)</t>
  </si>
  <si>
    <t>CO2 EF(t/TJ)</t>
  </si>
  <si>
    <t>Kerosene</t>
  </si>
  <si>
    <t>CNG</t>
  </si>
  <si>
    <t>CH4 (kg/TJ)</t>
  </si>
  <si>
    <t>N20 (kg/TJ)</t>
  </si>
  <si>
    <t>Motor Gasoline</t>
  </si>
  <si>
    <t>Diesel Oil</t>
  </si>
  <si>
    <t>Net Calorific Value (NCV)</t>
  </si>
  <si>
    <t>Carbon Emission Factor (CEF)</t>
  </si>
  <si>
    <t>CEF (t C02/TJ)</t>
  </si>
  <si>
    <t>CH4 and N20 emission factors - Road Transport</t>
  </si>
  <si>
    <t>Emission factor (Default)</t>
  </si>
  <si>
    <t>CO2, CH4 and N20 emission factors - Railways</t>
  </si>
  <si>
    <t>Diesel</t>
  </si>
  <si>
    <t xml:space="preserve">Residual Fuel Oil </t>
  </si>
  <si>
    <t>Residual Oil</t>
  </si>
  <si>
    <t>2±140%-40%</t>
  </si>
  <si>
    <t xml:space="preserve">Jet Kerosene </t>
  </si>
  <si>
    <t>Coal for traction (Million Tonnes)</t>
  </si>
  <si>
    <t>Indian Railways Year Book - 2006-07, 2007-08, 2008-09, 2009-10, 2010-11, 2011-12, 2012-13 ,2013-14</t>
  </si>
  <si>
    <t>MoPNG, Indian Petroleum and Natural Gas Statistics, 2014-15  - Reference for 2008-2012 data</t>
  </si>
  <si>
    <t xml:space="preserve">MoPNG, Indian Petroleum and Natural Gas Statistics, 2013-14 - Reference for 2007-2008 data only </t>
  </si>
  <si>
    <t>LPG, HSDO, LDO, FO Consumption</t>
  </si>
  <si>
    <t xml:space="preserve">MoPNG, Indian Petroleum and Natural Gas Statistics, 2011-12 - Reference for 2006-2007 data only </t>
  </si>
  <si>
    <t>%</t>
  </si>
  <si>
    <t>MoPNG, Indian Petroleum and Natural Gas Statistics, 2012-13 - Reference for 2006-2007 data for international and coastal bunkers</t>
  </si>
  <si>
    <t>CNG (Million Cubic Meter) MCM</t>
  </si>
  <si>
    <t>Energy Statistics, 2015 - For 2006-07 CNG consumption data - Table 6.8</t>
  </si>
  <si>
    <t>MoPNG, Indian Petroleum and Natural Gas Statistics, 2013-14 (Sector wise consumption of natural gas)</t>
  </si>
  <si>
    <t>Ocean going ships</t>
  </si>
  <si>
    <t xml:space="preserve"> CH4 and N20 emission factors - Navigation</t>
  </si>
  <si>
    <t>All fuels</t>
  </si>
  <si>
    <t>CH4 default (uncontrolled factors (kg/TJ)</t>
  </si>
  <si>
    <t>N20 default (uncontrolled factors) (kg/TJ)</t>
  </si>
  <si>
    <t>0.5 (-57%/+100%)</t>
  </si>
  <si>
    <t>2 (-70%/+150%)</t>
  </si>
  <si>
    <t>Nox default (uncontrolled factors) (kg/TJ)</t>
  </si>
  <si>
    <t xml:space="preserve"> CH4 and N20 emission factors - Aviation</t>
  </si>
  <si>
    <t>000 Tons of CH4</t>
  </si>
  <si>
    <t>000 Tons of N2O</t>
  </si>
  <si>
    <t>Coal</t>
  </si>
  <si>
    <t xml:space="preserve">Cooking coal </t>
  </si>
  <si>
    <t xml:space="preserve">Coal </t>
  </si>
  <si>
    <t>Navigation</t>
  </si>
  <si>
    <t>Auto LPG (000 Tonnes)</t>
  </si>
  <si>
    <t xml:space="preserve">Fuel consumption </t>
  </si>
  <si>
    <t>CH4 Emissions (000 Tons)</t>
  </si>
  <si>
    <t>CO2 emissions (000 Tons)</t>
  </si>
  <si>
    <t>N20 Emissions (000 Tons)</t>
  </si>
  <si>
    <t xml:space="preserve">LDO </t>
  </si>
  <si>
    <t>000 Tons of CO2</t>
  </si>
  <si>
    <t>Density of CNG (KG/SCM)</t>
  </si>
  <si>
    <t>000 Tons</t>
  </si>
  <si>
    <t>Diesel and Petrol</t>
  </si>
  <si>
    <t>Direct</t>
  </si>
  <si>
    <t>Retail</t>
  </si>
  <si>
    <t xml:space="preserve">N20 </t>
  </si>
  <si>
    <t>CH4</t>
  </si>
  <si>
    <t>Total co2e</t>
  </si>
  <si>
    <t>MMSCMD</t>
  </si>
  <si>
    <t>MMSCM</t>
  </si>
  <si>
    <t>TMT</t>
  </si>
  <si>
    <t>Total</t>
  </si>
  <si>
    <t>% share</t>
  </si>
  <si>
    <t>Residential</t>
  </si>
  <si>
    <t>CAGR</t>
  </si>
  <si>
    <t>CNG Density (kg/m3)</t>
  </si>
  <si>
    <t xml:space="preserve">Domestic fuel </t>
  </si>
  <si>
    <t>(MMSCM)</t>
  </si>
  <si>
    <t>Transport fuel share  2006-07(000 Tonnes)</t>
  </si>
  <si>
    <t>CNG Estimation</t>
  </si>
  <si>
    <t>Based on Source</t>
  </si>
  <si>
    <t>HSDO(000 Tonnes) - Retail</t>
  </si>
  <si>
    <t xml:space="preserve">MOPNG </t>
  </si>
  <si>
    <t>Indian Railways Year Book</t>
  </si>
  <si>
    <t>Estimates Values</t>
  </si>
  <si>
    <t>BUR, 2010</t>
  </si>
  <si>
    <t xml:space="preserve">INCAA, 2007 </t>
  </si>
  <si>
    <t>Final CO2e, CO2, CH4,N20 estimates</t>
  </si>
  <si>
    <t>Total HSDO (000 Tonnes) - Direct</t>
  </si>
  <si>
    <t xml:space="preserve">IPCC, 2006 </t>
  </si>
  <si>
    <t>Final CO2e estimates (INCAA, 2007 &amp; Unpacking)</t>
  </si>
  <si>
    <t>Calculation</t>
  </si>
  <si>
    <t>Transport (Mt CO2e)</t>
  </si>
  <si>
    <t>INCCA 2007 Inventory</t>
  </si>
  <si>
    <t>BUR 2010 Inventory</t>
  </si>
  <si>
    <t>CSTEP 2009-10 Inventory</t>
  </si>
  <si>
    <t>CSTEP 2006-07</t>
  </si>
  <si>
    <t>Calendar Year Emissions (Mt CO2e)</t>
  </si>
  <si>
    <t>CO2 eq Emissions (000 Tons)</t>
  </si>
  <si>
    <t>Calender year wise</t>
  </si>
  <si>
    <t>Level 1 - Sector</t>
  </si>
  <si>
    <t>Level 2</t>
  </si>
  <si>
    <t>Level 3</t>
  </si>
  <si>
    <t>Level 4</t>
  </si>
  <si>
    <t>Level 5</t>
  </si>
  <si>
    <t>Level 6</t>
  </si>
  <si>
    <t>Emission / Removal / Bunker</t>
  </si>
  <si>
    <t>Gas</t>
  </si>
  <si>
    <t>Energy</t>
  </si>
  <si>
    <t>Fuel Combustion Emissions</t>
  </si>
  <si>
    <t>Transport</t>
  </si>
  <si>
    <t>Road</t>
  </si>
  <si>
    <t xml:space="preserve">Motor Spirit </t>
  </si>
  <si>
    <t>DO NOT APPLY</t>
  </si>
  <si>
    <t>Emission</t>
  </si>
  <si>
    <t>CO2 (t)</t>
  </si>
  <si>
    <t xml:space="preserve">Auto LPG </t>
  </si>
  <si>
    <t xml:space="preserve">Furnace Oil </t>
  </si>
  <si>
    <t>HSDO - Retail</t>
  </si>
  <si>
    <t xml:space="preserve">LPG </t>
  </si>
  <si>
    <t>Furnace Oil</t>
  </si>
  <si>
    <t xml:space="preserve">Coal for traction </t>
  </si>
  <si>
    <t xml:space="preserve">ATF </t>
  </si>
  <si>
    <t>CH4 (t)</t>
  </si>
  <si>
    <t>N2O(t)</t>
  </si>
  <si>
    <t>CO2eq(Mt GWP)</t>
  </si>
  <si>
    <t>GWP</t>
  </si>
  <si>
    <t>GTP</t>
  </si>
  <si>
    <t>N2O</t>
  </si>
  <si>
    <t>CO2eq(Mt GTP)</t>
  </si>
  <si>
    <t>1 TJ</t>
  </si>
  <si>
    <t>ktoe</t>
  </si>
  <si>
    <t>Conversion</t>
  </si>
  <si>
    <t>Fuel content (ktoe)</t>
  </si>
  <si>
    <t>7±50%</t>
  </si>
  <si>
    <t>250 ±25%</t>
  </si>
  <si>
    <t>Sector</t>
  </si>
  <si>
    <t xml:space="preserve">Electricity Generation and Energy </t>
  </si>
  <si>
    <t>Version</t>
  </si>
  <si>
    <t>1.0 Posted on July 15, 2016</t>
  </si>
  <si>
    <t>Time Series</t>
  </si>
  <si>
    <t>2007-2012</t>
  </si>
  <si>
    <t>Level of Disaggregation</t>
  </si>
  <si>
    <t>National level data</t>
  </si>
  <si>
    <t>Sub-sector Disaggregation</t>
  </si>
  <si>
    <t>Electricity, Fugitive, Transport, Others - Residential, Commercial &amp; Agriculture</t>
  </si>
  <si>
    <t>Sector Description</t>
  </si>
  <si>
    <t>CSTEP has analysed emissions from energy production and use in the Electricity Generation, Transportation and Other (Residential, Commercial, Agriculture and Fisheries) sectors. Together these constitute over 60% of India’s emissions. Emissions from energy use in fuel production (mining and refineries) have been reported in Industry but fugitive emissions have been reported in Energy, as per IPCC 2006 guidelines. The data used has been sourced from public sources to the extent possible. Assumptions and methodologies have been made transparent for further analysis outside the GHG Platform India. The exercise forms the basis to measure India’s climate performance and stimulate data-driven policy decisions.</t>
  </si>
  <si>
    <t>About GHG Platform</t>
  </si>
  <si>
    <t xml:space="preserve">The GHG Platform India is a collective Indian civil-society initiative providing an independent sector and economy wide estimation and analysis of India’s greenhouse gas (GHG) emissions from 2007 to 2012.  The platform comprises of eminent organisations namely, Council on Energy, Environment and Water, Center for Study of Science, Technology and Policy (CSTEP), ICLEI South Asia, Shakti Sustainable Energy Foundation, Vasudha Foundation and WRI-India.  </t>
  </si>
  <si>
    <t>Lead Institution</t>
  </si>
  <si>
    <t>Center for Study of Science, Technology and Policy (CSTEP)</t>
  </si>
  <si>
    <t>Contact Details</t>
  </si>
  <si>
    <t>info@ghgplatform-india.org, sahil@cstep.in</t>
  </si>
  <si>
    <t>Usage Policy</t>
  </si>
  <si>
    <t xml:space="preserve">Any re-production or re-distribution of the material(s) and information displayed and published on this Website/GHG Platform India/Portal shall be accompanied by a due acknowledgment and credit to the GHG Platform India for such material(s) and information.
You must give appropriate credit, provide a link, and indicate if changes were made. You may do so in any reasonable manner, but not in any way that suggests the GHG Platform India endorses you or your use. Data sheets may be revised or updated from time to time. The latest version of each data sheet will be posted on the website. To keep abreast of these changes, please email us at info@ghgplatform-india.org so that we may inform you when data sheets have been updated. </t>
  </si>
  <si>
    <t>Citation</t>
  </si>
  <si>
    <t>Disclaimer</t>
  </si>
  <si>
    <t xml:space="preserve">"The data used for arriving at the results of this study is from published, secondary sources, or wholly or in part from official sources that have been duly acknowledged. The veracity of the data has been corroborated to the maximum extent possible.  However, the GHG Platform India shall not be held liable and responsible to establish the veracity of or corroborate such content or data and shall not be responsible or liable for any consequences that arise from and / or any harm or loss caused by way of placing reliance on the material(s) and information displayed and published on the website or by further use and analysis of the results of this study."  </t>
  </si>
  <si>
    <t>Tabs</t>
  </si>
  <si>
    <t>Description</t>
  </si>
  <si>
    <t>Final Results</t>
  </si>
  <si>
    <t>Summary</t>
  </si>
  <si>
    <t>Summary sheet for transport sector</t>
  </si>
  <si>
    <t>Final emissions for transport sector, all gases, all activities (2007-12)</t>
  </si>
  <si>
    <t>Raw Data</t>
  </si>
  <si>
    <t>Emission Factors</t>
  </si>
  <si>
    <t>Transport GHG Inventory</t>
  </si>
  <si>
    <t>Emission Factors for conversion</t>
  </si>
  <si>
    <t>Data inventory, all gases, all activities, for transport sector</t>
  </si>
  <si>
    <t>Raw Data transport sector (all activities)</t>
  </si>
  <si>
    <t>Calculation sheet for emissions 2007-12</t>
  </si>
  <si>
    <t xml:space="preserve">Ali, Mohd. Sahil., Rachel, R., Lakshmi, A., Ananthakumar, Murali R., (2016). Energy Emissions. Version 1.0 dated July 15, 2016, from GHG platform India: GHG platform INDIA-2007-2012 National Estimates-2016 Series http://ghgplatform-india.org/data-and-emissions/energy. html
In instances where this sheet is used along with any other sector sheet on this website, the suggested citation is “GHG platform INDIA 2007-2012 National Estimates - 2016 Series”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</si>
</sst>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
    <numFmt numFmtId="165" formatCode="0.0"/>
    <numFmt numFmtId="166" formatCode="0.0000"/>
  </numFmts>
  <fonts count="29" x14ac:knownFonts="1">
    <font>
      <sz val="11"/>
      <color theme="1"/>
      <name val="Calibri"/>
      <family val="2"/>
      <scheme val="minor"/>
    </font>
    <font>
      <sz val="11"/>
      <color theme="1"/>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b/>
      <sz val="11"/>
      <color rgb="FFFA7D00"/>
      <name val="Calibri"/>
      <family val="2"/>
      <scheme val="minor"/>
    </font>
    <font>
      <b/>
      <i/>
      <sz val="11"/>
      <color theme="1"/>
      <name val="Calibri"/>
      <family val="2"/>
      <scheme val="minor"/>
    </font>
    <font>
      <b/>
      <sz val="11"/>
      <color theme="0"/>
      <name val="Calibri"/>
      <family val="2"/>
      <scheme val="minor"/>
    </font>
    <font>
      <sz val="10"/>
      <name val="Arial"/>
      <family val="2"/>
    </font>
    <font>
      <b/>
      <sz val="12"/>
      <color theme="1"/>
      <name val="Times New Roman"/>
      <family val="1"/>
    </font>
    <font>
      <sz val="12"/>
      <color theme="1"/>
      <name val="Times New Roman"/>
      <family val="1"/>
    </font>
    <font>
      <sz val="12"/>
      <color rgb="FF000000"/>
      <name val="Times New Roman"/>
      <family val="1"/>
    </font>
    <font>
      <sz val="12"/>
      <name val="Times New Roman"/>
      <family val="1"/>
    </font>
    <font>
      <sz val="12"/>
      <color indexed="60"/>
      <name val="Times New Roman"/>
      <family val="1"/>
    </font>
    <font>
      <sz val="12"/>
      <color indexed="20"/>
      <name val="Times New Roman"/>
      <family val="1"/>
    </font>
    <font>
      <sz val="12"/>
      <color indexed="17"/>
      <name val="Times New Roman"/>
      <family val="1"/>
    </font>
    <font>
      <b/>
      <sz val="12"/>
      <color rgb="FFFA7D00"/>
      <name val="Times New Roman"/>
      <family val="1"/>
    </font>
    <font>
      <b/>
      <i/>
      <sz val="12"/>
      <color theme="1"/>
      <name val="Times New Roman"/>
      <family val="1"/>
    </font>
    <font>
      <i/>
      <sz val="12"/>
      <color theme="1"/>
      <name val="Times New Roman"/>
      <family val="1"/>
    </font>
    <font>
      <b/>
      <sz val="12"/>
      <color theme="0"/>
      <name val="Times New Roman"/>
      <family val="1"/>
    </font>
    <font>
      <sz val="15"/>
      <color theme="1"/>
      <name val="Times New Roman"/>
      <family val="1"/>
    </font>
    <font>
      <b/>
      <sz val="15"/>
      <name val="Times New Roman"/>
      <family val="1"/>
    </font>
    <font>
      <b/>
      <sz val="15"/>
      <name val="Times New Roman"/>
      <family val="1"/>
    </font>
    <font>
      <sz val="15"/>
      <color theme="1"/>
      <name val="Times New Roman"/>
      <family val="1"/>
    </font>
    <font>
      <sz val="15"/>
      <name val="Times New Roman"/>
      <family val="1"/>
    </font>
    <font>
      <sz val="15"/>
      <color rgb="FF1F497D"/>
      <name val="Times New Roman"/>
      <family val="1"/>
    </font>
    <font>
      <u/>
      <sz val="11"/>
      <color theme="10"/>
      <name val="Calibri"/>
      <family val="2"/>
    </font>
    <font>
      <u/>
      <sz val="15"/>
      <color theme="10"/>
      <name val="Times New Roman"/>
      <family val="1"/>
    </font>
    <font>
      <sz val="15"/>
      <name val="Times New Roman"/>
      <family val="1"/>
    </font>
  </fonts>
  <fills count="2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2F2F2"/>
      </patternFill>
    </fill>
    <fill>
      <patternFill patternType="solid">
        <fgColor theme="8" tint="0.79998168889431442"/>
        <bgColor indexed="64"/>
      </patternFill>
    </fill>
    <fill>
      <patternFill patternType="solid">
        <fgColor theme="0" tint="-0.14999847407452621"/>
        <bgColor indexed="64"/>
      </patternFill>
    </fill>
    <fill>
      <patternFill patternType="solid">
        <fgColor rgb="FFFF0000"/>
        <bgColor indexed="64"/>
      </patternFill>
    </fill>
    <fill>
      <patternFill patternType="solid">
        <fgColor rgb="FFFFC000"/>
        <bgColor indexed="64"/>
      </patternFill>
    </fill>
    <fill>
      <patternFill patternType="solid">
        <fgColor theme="2" tint="-0.499984740745262"/>
        <bgColor indexed="64"/>
      </patternFill>
    </fill>
    <fill>
      <patternFill patternType="solid">
        <fgColor rgb="FF33CC33"/>
        <bgColor indexed="64"/>
      </patternFill>
    </fill>
    <fill>
      <patternFill patternType="solid">
        <fgColor rgb="FF00B050"/>
        <bgColor indexed="64"/>
      </patternFill>
    </fill>
    <fill>
      <patternFill patternType="solid">
        <fgColor rgb="FFFF66CC"/>
        <bgColor indexed="64"/>
      </patternFill>
    </fill>
    <fill>
      <patternFill patternType="solid">
        <fgColor theme="8" tint="-0.249977111117893"/>
        <bgColor indexed="64"/>
      </patternFill>
    </fill>
    <fill>
      <patternFill patternType="solid">
        <fgColor theme="8" tint="0.39997558519241921"/>
        <bgColor indexed="64"/>
      </patternFill>
    </fill>
    <fill>
      <patternFill patternType="solid">
        <fgColor rgb="FFDDDDDD"/>
        <bgColor indexed="64"/>
      </patternFill>
    </fill>
    <fill>
      <patternFill patternType="solid">
        <fgColor rgb="FFA5A5A5"/>
      </patternFill>
    </fill>
    <fill>
      <patternFill patternType="solid">
        <fgColor theme="0" tint="-4.9989318521683403E-2"/>
        <bgColor indexed="64"/>
      </patternFill>
    </fill>
    <fill>
      <patternFill patternType="solid">
        <fgColor theme="6" tint="0.79998168889431442"/>
        <bgColor indexed="64"/>
      </patternFill>
    </fill>
    <fill>
      <patternFill patternType="solid">
        <fgColor theme="9" tint="0.39997558519241921"/>
        <bgColor indexed="64"/>
      </patternFill>
    </fill>
    <fill>
      <patternFill patternType="solid">
        <fgColor theme="6" tint="0.59999389629810485"/>
        <bgColor indexed="64"/>
      </patternFill>
    </fill>
    <fill>
      <patternFill patternType="solid">
        <fgColor theme="4" tint="0.59999389629810485"/>
        <bgColor indexed="64"/>
      </patternFill>
    </fill>
  </fills>
  <borders count="5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rgb="FF7F7F7F"/>
      </left>
      <right style="thin">
        <color rgb="FF7F7F7F"/>
      </right>
      <top style="thin">
        <color rgb="FF7F7F7F"/>
      </top>
      <bottom style="thin">
        <color rgb="FF7F7F7F"/>
      </bottom>
      <diagonal/>
    </border>
    <border>
      <left style="thin">
        <color indexed="64"/>
      </left>
      <right style="thin">
        <color indexed="64"/>
      </right>
      <top/>
      <bottom/>
      <diagonal/>
    </border>
    <border>
      <left style="double">
        <color rgb="FF3F3F3F"/>
      </left>
      <right style="double">
        <color rgb="FF3F3F3F"/>
      </right>
      <top style="double">
        <color rgb="FF3F3F3F"/>
      </top>
      <bottom style="double">
        <color rgb="FF3F3F3F"/>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double">
        <color rgb="FF3F3F3F"/>
      </left>
      <right style="double">
        <color rgb="FF3F3F3F"/>
      </right>
      <top style="double">
        <color rgb="FF3F3F3F"/>
      </top>
      <bottom/>
      <diagonal/>
    </border>
    <border>
      <left style="hair">
        <color indexed="64"/>
      </left>
      <right style="hair">
        <color indexed="64"/>
      </right>
      <top style="hair">
        <color indexed="64"/>
      </top>
      <bottom style="hair">
        <color indexed="64"/>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bottom style="thin">
        <color theme="0"/>
      </bottom>
      <diagonal/>
    </border>
    <border>
      <left style="thin">
        <color theme="0"/>
      </left>
      <right/>
      <top style="thin">
        <color theme="0"/>
      </top>
      <bottom/>
      <diagonal/>
    </border>
    <border>
      <left style="medium">
        <color auto="1"/>
      </left>
      <right style="thin">
        <color auto="1"/>
      </right>
      <top style="medium">
        <color auto="1"/>
      </top>
      <bottom style="thin">
        <color auto="1"/>
      </bottom>
      <diagonal/>
    </border>
    <border>
      <left/>
      <right style="medium">
        <color auto="1"/>
      </right>
      <top style="medium">
        <color auto="1"/>
      </top>
      <bottom style="thin">
        <color auto="1"/>
      </bottom>
      <diagonal/>
    </border>
    <border>
      <left style="medium">
        <color indexed="64"/>
      </left>
      <right style="thin">
        <color theme="1"/>
      </right>
      <top style="medium">
        <color indexed="64"/>
      </top>
      <bottom style="thin">
        <color theme="1"/>
      </bottom>
      <diagonal/>
    </border>
    <border>
      <left style="thin">
        <color theme="1"/>
      </left>
      <right style="medium">
        <color indexed="64"/>
      </right>
      <top style="medium">
        <color indexed="64"/>
      </top>
      <bottom style="thin">
        <color theme="1"/>
      </bottom>
      <diagonal/>
    </border>
    <border>
      <left style="medium">
        <color auto="1"/>
      </left>
      <right style="thin">
        <color auto="1"/>
      </right>
      <top style="thin">
        <color auto="1"/>
      </top>
      <bottom style="thin">
        <color auto="1"/>
      </bottom>
      <diagonal/>
    </border>
    <border>
      <left/>
      <right style="medium">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diagonal/>
    </border>
    <border>
      <left/>
      <right style="medium">
        <color auto="1"/>
      </right>
      <top style="thin">
        <color auto="1"/>
      </top>
      <bottom/>
      <diagonal/>
    </border>
    <border>
      <left style="medium">
        <color auto="1"/>
      </left>
      <right style="thin">
        <color auto="1"/>
      </right>
      <top/>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hair">
        <color indexed="64"/>
      </left>
      <right style="hair">
        <color indexed="64"/>
      </right>
      <top style="hair">
        <color indexed="64"/>
      </top>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dotted">
        <color auto="1"/>
      </right>
      <top style="medium">
        <color indexed="64"/>
      </top>
      <bottom style="dotted">
        <color auto="1"/>
      </bottom>
      <diagonal/>
    </border>
    <border>
      <left style="dotted">
        <color auto="1"/>
      </left>
      <right style="medium">
        <color indexed="64"/>
      </right>
      <top style="medium">
        <color indexed="64"/>
      </top>
      <bottom style="dotted">
        <color auto="1"/>
      </bottom>
      <diagonal/>
    </border>
    <border>
      <left style="medium">
        <color indexed="64"/>
      </left>
      <right style="dotted">
        <color auto="1"/>
      </right>
      <top style="dotted">
        <color auto="1"/>
      </top>
      <bottom style="dotted">
        <color auto="1"/>
      </bottom>
      <diagonal/>
    </border>
    <border>
      <left/>
      <right style="medium">
        <color indexed="64"/>
      </right>
      <top/>
      <bottom style="dotted">
        <color indexed="64"/>
      </bottom>
      <diagonal/>
    </border>
    <border>
      <left style="medium">
        <color indexed="64"/>
      </left>
      <right style="dotted">
        <color indexed="64"/>
      </right>
      <top/>
      <bottom/>
      <diagonal/>
    </border>
    <border>
      <left style="dotted">
        <color auto="1"/>
      </left>
      <right style="medium">
        <color indexed="64"/>
      </right>
      <top style="dotted">
        <color auto="1"/>
      </top>
      <bottom style="dotted">
        <color auto="1"/>
      </bottom>
      <diagonal/>
    </border>
    <border>
      <left style="medium">
        <color indexed="64"/>
      </left>
      <right style="hair">
        <color auto="1"/>
      </right>
      <top/>
      <bottom style="dotted">
        <color indexed="64"/>
      </bottom>
      <diagonal/>
    </border>
    <border>
      <left style="dotted">
        <color indexed="64"/>
      </left>
      <right style="medium">
        <color indexed="64"/>
      </right>
      <top/>
      <bottom style="dotted">
        <color indexed="64"/>
      </bottom>
      <diagonal/>
    </border>
    <border>
      <left style="medium">
        <color indexed="64"/>
      </left>
      <right style="dotted">
        <color auto="1"/>
      </right>
      <top style="dotted">
        <color auto="1"/>
      </top>
      <bottom style="medium">
        <color indexed="64"/>
      </bottom>
      <diagonal/>
    </border>
    <border>
      <left style="dotted">
        <color auto="1"/>
      </left>
      <right style="medium">
        <color indexed="64"/>
      </right>
      <top style="dotted">
        <color auto="1"/>
      </top>
      <bottom style="medium">
        <color indexed="64"/>
      </bottom>
      <diagonal/>
    </border>
  </borders>
  <cellStyleXfs count="9">
    <xf numFmtId="0" fontId="0" fillId="0" borderId="0"/>
    <xf numFmtId="9" fontId="1" fillId="0" borderId="0" applyFont="0" applyFill="0" applyBorder="0" applyAlignment="0" applyProtection="0"/>
    <xf numFmtId="0" fontId="2" fillId="4" borderId="0" applyNumberFormat="0" applyBorder="0" applyAlignment="0" applyProtection="0"/>
    <xf numFmtId="0" fontId="3" fillId="5" borderId="0" applyNumberFormat="0" applyBorder="0" applyAlignment="0" applyProtection="0"/>
    <xf numFmtId="0" fontId="4" fillId="6" borderId="0" applyNumberFormat="0" applyBorder="0" applyAlignment="0" applyProtection="0"/>
    <xf numFmtId="0" fontId="5" fillId="7" borderId="4" applyNumberFormat="0" applyAlignment="0" applyProtection="0"/>
    <xf numFmtId="0" fontId="7" fillId="19" borderId="6" applyNumberFormat="0" applyAlignment="0" applyProtection="0"/>
    <xf numFmtId="0" fontId="8" fillId="0" borderId="0">
      <alignment vertical="center"/>
    </xf>
    <xf numFmtId="0" fontId="26" fillId="0" borderId="0" applyNumberFormat="0" applyFill="0" applyBorder="0" applyAlignment="0" applyProtection="0">
      <alignment vertical="top"/>
      <protection locked="0"/>
    </xf>
  </cellStyleXfs>
  <cellXfs count="217">
    <xf numFmtId="0" fontId="0" fillId="0" borderId="0" xfId="0"/>
    <xf numFmtId="0" fontId="0" fillId="2" borderId="1" xfId="0" applyFill="1" applyBorder="1"/>
    <xf numFmtId="0" fontId="0" fillId="10" borderId="1" xfId="0" applyFill="1" applyBorder="1"/>
    <xf numFmtId="0" fontId="0" fillId="11" borderId="1" xfId="0" applyFill="1" applyBorder="1"/>
    <xf numFmtId="0" fontId="0" fillId="12" borderId="1" xfId="0" applyFill="1" applyBorder="1"/>
    <xf numFmtId="0" fontId="0" fillId="14" borderId="1" xfId="0" applyFill="1" applyBorder="1"/>
    <xf numFmtId="0" fontId="0" fillId="16" borderId="1" xfId="0" applyFill="1" applyBorder="1"/>
    <xf numFmtId="0" fontId="0" fillId="17" borderId="1" xfId="0" applyFill="1" applyBorder="1"/>
    <xf numFmtId="0" fontId="5" fillId="7" borderId="4" xfId="5"/>
    <xf numFmtId="0" fontId="9" fillId="0" borderId="0" xfId="0" applyFont="1" applyFill="1"/>
    <xf numFmtId="0" fontId="10" fillId="0" borderId="0" xfId="0" applyFont="1" applyFill="1"/>
    <xf numFmtId="0" fontId="9" fillId="0" borderId="2" xfId="0" applyFont="1" applyFill="1" applyBorder="1"/>
    <xf numFmtId="0" fontId="10" fillId="0" borderId="1" xfId="0" applyFont="1" applyFill="1" applyBorder="1"/>
    <xf numFmtId="0" fontId="10" fillId="0" borderId="2" xfId="0" applyFont="1" applyFill="1" applyBorder="1"/>
    <xf numFmtId="2" fontId="10" fillId="0" borderId="1" xfId="0" applyNumberFormat="1" applyFont="1" applyFill="1" applyBorder="1"/>
    <xf numFmtId="1" fontId="10" fillId="0" borderId="1" xfId="0" applyNumberFormat="1" applyFont="1" applyFill="1" applyBorder="1"/>
    <xf numFmtId="0" fontId="9" fillId="0" borderId="1" xfId="0" applyFont="1" applyFill="1" applyBorder="1"/>
    <xf numFmtId="1" fontId="10" fillId="0" borderId="1" xfId="0" applyNumberFormat="1" applyFont="1" applyBorder="1"/>
    <xf numFmtId="164" fontId="10" fillId="0" borderId="0" xfId="0" applyNumberFormat="1" applyFont="1" applyFill="1"/>
    <xf numFmtId="0" fontId="10" fillId="0" borderId="0" xfId="0" applyFont="1" applyFill="1" applyBorder="1"/>
    <xf numFmtId="0" fontId="10" fillId="0" borderId="3" xfId="0" applyFont="1" applyFill="1" applyBorder="1" applyAlignment="1">
      <alignment horizontal="center"/>
    </xf>
    <xf numFmtId="0" fontId="10" fillId="0" borderId="1" xfId="0" applyFont="1" applyFill="1" applyBorder="1" applyAlignment="1">
      <alignment horizontal="center"/>
    </xf>
    <xf numFmtId="0" fontId="10" fillId="3" borderId="0" xfId="0" applyFont="1" applyFill="1" applyBorder="1"/>
    <xf numFmtId="0" fontId="10" fillId="3" borderId="0" xfId="0" applyFont="1" applyFill="1"/>
    <xf numFmtId="0" fontId="11" fillId="0" borderId="0" xfId="0" applyFont="1"/>
    <xf numFmtId="0" fontId="11" fillId="2" borderId="0" xfId="0" applyFont="1" applyFill="1"/>
    <xf numFmtId="0" fontId="10" fillId="2" borderId="0" xfId="0" applyFont="1" applyFill="1"/>
    <xf numFmtId="0" fontId="10" fillId="2" borderId="0" xfId="0" applyFont="1" applyFill="1" applyBorder="1"/>
    <xf numFmtId="0" fontId="10" fillId="0" borderId="1" xfId="0" applyFont="1" applyBorder="1" applyAlignment="1">
      <alignment wrapText="1"/>
    </xf>
    <xf numFmtId="0" fontId="10" fillId="0" borderId="1" xfId="0" applyFont="1" applyBorder="1" applyAlignment="1">
      <alignment horizontal="center"/>
    </xf>
    <xf numFmtId="0" fontId="10" fillId="0" borderId="1" xfId="0" applyFont="1" applyBorder="1"/>
    <xf numFmtId="9" fontId="10" fillId="0" borderId="1" xfId="1" applyFont="1" applyFill="1" applyBorder="1"/>
    <xf numFmtId="0" fontId="10" fillId="0" borderId="0" xfId="0" applyFont="1"/>
    <xf numFmtId="0" fontId="9" fillId="0" borderId="1" xfId="0" applyFont="1" applyBorder="1"/>
    <xf numFmtId="0" fontId="9" fillId="0" borderId="1" xfId="0" applyFont="1" applyBorder="1" applyAlignment="1">
      <alignment horizontal="center"/>
    </xf>
    <xf numFmtId="0" fontId="12" fillId="0" borderId="1" xfId="0" applyFont="1" applyBorder="1"/>
    <xf numFmtId="0" fontId="12" fillId="0" borderId="0" xfId="0" applyFont="1"/>
    <xf numFmtId="0" fontId="12" fillId="0" borderId="1" xfId="0" applyFont="1" applyBorder="1" applyAlignment="1">
      <alignment wrapText="1"/>
    </xf>
    <xf numFmtId="9" fontId="10" fillId="0" borderId="1" xfId="1" applyFont="1" applyBorder="1"/>
    <xf numFmtId="1" fontId="12" fillId="7" borderId="1" xfId="5" applyNumberFormat="1" applyFont="1" applyBorder="1"/>
    <xf numFmtId="165" fontId="12" fillId="0" borderId="1" xfId="0" applyNumberFormat="1" applyFont="1" applyBorder="1"/>
    <xf numFmtId="10" fontId="13" fillId="6" borderId="1" xfId="4" applyNumberFormat="1" applyFont="1" applyBorder="1"/>
    <xf numFmtId="0" fontId="14" fillId="5" borderId="1" xfId="3" applyFont="1" applyBorder="1"/>
    <xf numFmtId="0" fontId="15" fillId="4" borderId="1" xfId="2" applyFont="1" applyBorder="1"/>
    <xf numFmtId="1" fontId="15" fillId="4" borderId="1" xfId="2" applyNumberFormat="1" applyFont="1" applyBorder="1"/>
    <xf numFmtId="2" fontId="15" fillId="4" borderId="1" xfId="2" applyNumberFormat="1" applyFont="1" applyBorder="1"/>
    <xf numFmtId="9" fontId="10" fillId="0" borderId="1" xfId="0" applyNumberFormat="1" applyFont="1" applyBorder="1"/>
    <xf numFmtId="0" fontId="12" fillId="8" borderId="1" xfId="0" applyFont="1" applyFill="1" applyBorder="1"/>
    <xf numFmtId="9" fontId="15" fillId="4" borderId="1" xfId="2" applyNumberFormat="1" applyFont="1" applyBorder="1"/>
    <xf numFmtId="1" fontId="12" fillId="0" borderId="1" xfId="0" applyNumberFormat="1" applyFont="1" applyBorder="1"/>
    <xf numFmtId="0" fontId="9" fillId="0" borderId="1" xfId="0" applyFont="1" applyBorder="1" applyAlignment="1">
      <alignment wrapText="1"/>
    </xf>
    <xf numFmtId="0" fontId="10" fillId="0" borderId="1" xfId="0" applyFont="1" applyBorder="1" applyAlignment="1">
      <alignment horizontal="right"/>
    </xf>
    <xf numFmtId="9" fontId="10" fillId="0" borderId="0" xfId="1" applyFont="1"/>
    <xf numFmtId="0" fontId="9" fillId="0" borderId="0" xfId="0" applyFont="1"/>
    <xf numFmtId="2" fontId="10" fillId="0" borderId="1" xfId="0" applyNumberFormat="1" applyFont="1" applyBorder="1"/>
    <xf numFmtId="0" fontId="10" fillId="0" borderId="0" xfId="0" applyFont="1" applyBorder="1"/>
    <xf numFmtId="0" fontId="10" fillId="0" borderId="5" xfId="0" applyFont="1" applyFill="1" applyBorder="1"/>
    <xf numFmtId="0" fontId="9" fillId="0" borderId="1" xfId="0" applyFont="1" applyBorder="1" applyAlignment="1">
      <alignment horizontal="center" wrapText="1"/>
    </xf>
    <xf numFmtId="0" fontId="10" fillId="0" borderId="0" xfId="0" applyFont="1" applyBorder="1" applyAlignment="1">
      <alignment wrapText="1"/>
    </xf>
    <xf numFmtId="0" fontId="10" fillId="0" borderId="0" xfId="0" applyFont="1" applyBorder="1" applyAlignment="1">
      <alignment horizontal="right"/>
    </xf>
    <xf numFmtId="0" fontId="10" fillId="2" borderId="0" xfId="0" applyFont="1" applyFill="1" applyBorder="1" applyAlignment="1">
      <alignment wrapText="1"/>
    </xf>
    <xf numFmtId="0" fontId="10" fillId="2" borderId="0" xfId="0" applyFont="1" applyFill="1" applyBorder="1" applyAlignment="1">
      <alignment horizontal="right"/>
    </xf>
    <xf numFmtId="0" fontId="9" fillId="0" borderId="3" xfId="0" applyFont="1" applyBorder="1" applyAlignment="1">
      <alignment horizontal="center"/>
    </xf>
    <xf numFmtId="0" fontId="9" fillId="22" borderId="1" xfId="0" applyFont="1" applyFill="1" applyBorder="1"/>
    <xf numFmtId="0" fontId="9" fillId="22" borderId="2" xfId="0" applyFont="1" applyFill="1" applyBorder="1"/>
    <xf numFmtId="0" fontId="10" fillId="9" borderId="1" xfId="0" applyFont="1" applyFill="1" applyBorder="1"/>
    <xf numFmtId="0" fontId="9" fillId="9" borderId="0" xfId="0" applyFont="1" applyFill="1"/>
    <xf numFmtId="0" fontId="10" fillId="9" borderId="0" xfId="0" applyFont="1" applyFill="1"/>
    <xf numFmtId="0" fontId="9" fillId="18" borderId="1" xfId="0" applyFont="1" applyFill="1" applyBorder="1"/>
    <xf numFmtId="0" fontId="10" fillId="18" borderId="0" xfId="0" applyFont="1" applyFill="1"/>
    <xf numFmtId="0" fontId="9" fillId="18" borderId="1" xfId="0" applyFont="1" applyFill="1" applyBorder="1" applyAlignment="1">
      <alignment horizontal="center"/>
    </xf>
    <xf numFmtId="0" fontId="10" fillId="18" borderId="0" xfId="0" applyFont="1" applyFill="1" applyBorder="1"/>
    <xf numFmtId="0" fontId="10" fillId="14" borderId="1" xfId="0" applyFont="1" applyFill="1" applyBorder="1"/>
    <xf numFmtId="2" fontId="16" fillId="7" borderId="4" xfId="5" applyNumberFormat="1" applyFont="1"/>
    <xf numFmtId="2" fontId="10" fillId="14" borderId="1" xfId="0" applyNumberFormat="1" applyFont="1" applyFill="1" applyBorder="1"/>
    <xf numFmtId="2" fontId="10" fillId="3" borderId="1" xfId="0" applyNumberFormat="1" applyFont="1" applyFill="1" applyBorder="1"/>
    <xf numFmtId="164" fontId="16" fillId="7" borderId="4" xfId="5" applyNumberFormat="1" applyFont="1"/>
    <xf numFmtId="164" fontId="10" fillId="14" borderId="1" xfId="0" applyNumberFormat="1" applyFont="1" applyFill="1" applyBorder="1"/>
    <xf numFmtId="166" fontId="16" fillId="7" borderId="4" xfId="5" applyNumberFormat="1" applyFont="1"/>
    <xf numFmtId="166" fontId="10" fillId="14" borderId="1" xfId="0" applyNumberFormat="1" applyFont="1" applyFill="1" applyBorder="1"/>
    <xf numFmtId="1" fontId="16" fillId="7" borderId="4" xfId="5" applyNumberFormat="1" applyFont="1"/>
    <xf numFmtId="1" fontId="10" fillId="14" borderId="1" xfId="0" applyNumberFormat="1" applyFont="1" applyFill="1" applyBorder="1"/>
    <xf numFmtId="2" fontId="10" fillId="0" borderId="0" xfId="0" applyNumberFormat="1" applyFont="1"/>
    <xf numFmtId="2" fontId="10" fillId="13" borderId="1" xfId="0" applyNumberFormat="1" applyFont="1" applyFill="1" applyBorder="1"/>
    <xf numFmtId="0" fontId="10" fillId="11" borderId="1" xfId="0" applyFont="1" applyFill="1" applyBorder="1"/>
    <xf numFmtId="2" fontId="10" fillId="11" borderId="1" xfId="0" applyNumberFormat="1" applyFont="1" applyFill="1" applyBorder="1"/>
    <xf numFmtId="164" fontId="10" fillId="0" borderId="0" xfId="0" applyNumberFormat="1" applyFont="1"/>
    <xf numFmtId="166" fontId="10" fillId="0" borderId="0" xfId="0" applyNumberFormat="1" applyFont="1"/>
    <xf numFmtId="0" fontId="10" fillId="0" borderId="0" xfId="0" applyFont="1" applyAlignment="1">
      <alignment wrapText="1"/>
    </xf>
    <xf numFmtId="0" fontId="10" fillId="12" borderId="1" xfId="0" applyFont="1" applyFill="1" applyBorder="1"/>
    <xf numFmtId="0" fontId="10" fillId="16" borderId="1" xfId="0" applyFont="1" applyFill="1" applyBorder="1"/>
    <xf numFmtId="2" fontId="10" fillId="12" borderId="1" xfId="0" applyNumberFormat="1" applyFont="1" applyFill="1" applyBorder="1"/>
    <xf numFmtId="0" fontId="9" fillId="0" borderId="0" xfId="0" applyFont="1" applyAlignment="1">
      <alignment horizontal="center"/>
    </xf>
    <xf numFmtId="0" fontId="10" fillId="0" borderId="0" xfId="0" applyFont="1" applyAlignment="1">
      <alignment horizontal="center"/>
    </xf>
    <xf numFmtId="9" fontId="10" fillId="12" borderId="1" xfId="1" applyFont="1" applyFill="1" applyBorder="1"/>
    <xf numFmtId="0" fontId="10" fillId="16" borderId="1" xfId="0" applyFont="1" applyFill="1" applyBorder="1" applyAlignment="1">
      <alignment horizontal="right"/>
    </xf>
    <xf numFmtId="9" fontId="10" fillId="12" borderId="1" xfId="0" applyNumberFormat="1" applyFont="1" applyFill="1" applyBorder="1"/>
    <xf numFmtId="2" fontId="9" fillId="0" borderId="0" xfId="0" applyNumberFormat="1" applyFont="1"/>
    <xf numFmtId="0" fontId="10" fillId="16" borderId="0" xfId="0" applyFont="1" applyFill="1"/>
    <xf numFmtId="0" fontId="9" fillId="0" borderId="12" xfId="0" applyFont="1" applyBorder="1"/>
    <xf numFmtId="0" fontId="10" fillId="0" borderId="16" xfId="0" applyFont="1" applyBorder="1"/>
    <xf numFmtId="0" fontId="10" fillId="0" borderId="7" xfId="0" applyFont="1" applyBorder="1"/>
    <xf numFmtId="0" fontId="10" fillId="0" borderId="7" xfId="0" applyFont="1" applyFill="1" applyBorder="1"/>
    <xf numFmtId="0" fontId="10" fillId="0" borderId="8" xfId="0" applyFont="1" applyBorder="1"/>
    <xf numFmtId="0" fontId="10" fillId="0" borderId="13" xfId="0" applyFont="1" applyBorder="1"/>
    <xf numFmtId="1" fontId="10" fillId="0" borderId="17" xfId="0" applyNumberFormat="1" applyFont="1" applyBorder="1"/>
    <xf numFmtId="1" fontId="10" fillId="0" borderId="0" xfId="0" applyNumberFormat="1" applyFont="1" applyBorder="1"/>
    <xf numFmtId="1" fontId="10" fillId="0" borderId="9" xfId="0" applyNumberFormat="1" applyFont="1" applyBorder="1"/>
    <xf numFmtId="0" fontId="10" fillId="0" borderId="14" xfId="0" applyFont="1" applyBorder="1"/>
    <xf numFmtId="0" fontId="9" fillId="0" borderId="11" xfId="0" applyFont="1" applyBorder="1"/>
    <xf numFmtId="0" fontId="17" fillId="0" borderId="0" xfId="0" applyFont="1"/>
    <xf numFmtId="1" fontId="10" fillId="0" borderId="0" xfId="0" applyNumberFormat="1" applyFont="1"/>
    <xf numFmtId="1" fontId="10" fillId="0" borderId="0" xfId="0" applyNumberFormat="1" applyFont="1" applyBorder="1" applyAlignment="1">
      <alignment vertical="center"/>
    </xf>
    <xf numFmtId="0" fontId="18" fillId="0" borderId="1" xfId="0" applyFont="1" applyBorder="1"/>
    <xf numFmtId="0" fontId="18" fillId="0" borderId="1" xfId="0" applyFont="1" applyBorder="1" applyAlignment="1">
      <alignment wrapText="1"/>
    </xf>
    <xf numFmtId="0" fontId="18" fillId="0" borderId="0" xfId="0" applyFont="1"/>
    <xf numFmtId="1" fontId="10" fillId="12" borderId="1" xfId="0" applyNumberFormat="1" applyFont="1" applyFill="1" applyBorder="1"/>
    <xf numFmtId="1" fontId="10" fillId="2" borderId="1" xfId="0" applyNumberFormat="1" applyFont="1" applyFill="1" applyBorder="1"/>
    <xf numFmtId="1" fontId="10" fillId="0" borderId="0" xfId="0" applyNumberFormat="1" applyFont="1" applyBorder="1" applyAlignment="1">
      <alignment vertical="top"/>
    </xf>
    <xf numFmtId="9" fontId="19" fillId="19" borderId="21" xfId="6" applyNumberFormat="1" applyFont="1" applyBorder="1"/>
    <xf numFmtId="9" fontId="19" fillId="0" borderId="0" xfId="6" applyNumberFormat="1" applyFont="1" applyFill="1" applyBorder="1"/>
    <xf numFmtId="1" fontId="10" fillId="17" borderId="1" xfId="0" applyNumberFormat="1" applyFont="1" applyFill="1" applyBorder="1"/>
    <xf numFmtId="9" fontId="19" fillId="19" borderId="6" xfId="6" applyNumberFormat="1" applyFont="1"/>
    <xf numFmtId="0" fontId="17" fillId="20" borderId="22" xfId="0" applyFont="1" applyFill="1" applyBorder="1" applyAlignment="1">
      <alignment horizontal="center" vertical="center"/>
    </xf>
    <xf numFmtId="0" fontId="12" fillId="0" borderId="22" xfId="0" applyFont="1" applyBorder="1" applyAlignment="1"/>
    <xf numFmtId="3" fontId="12" fillId="0" borderId="22" xfId="0" applyNumberFormat="1" applyFont="1" applyBorder="1" applyAlignment="1"/>
    <xf numFmtId="1" fontId="10" fillId="0" borderId="18" xfId="0" applyNumberFormat="1" applyFont="1" applyFill="1" applyBorder="1"/>
    <xf numFmtId="1" fontId="10" fillId="0" borderId="15" xfId="0" applyNumberFormat="1" applyFont="1" applyFill="1" applyBorder="1"/>
    <xf numFmtId="1" fontId="10" fillId="0" borderId="19" xfId="0" applyNumberFormat="1" applyFont="1" applyFill="1" applyBorder="1"/>
    <xf numFmtId="1" fontId="10" fillId="0" borderId="20" xfId="0" applyNumberFormat="1" applyFont="1" applyFill="1" applyBorder="1"/>
    <xf numFmtId="1" fontId="10" fillId="0" borderId="10" xfId="0" applyNumberFormat="1" applyFont="1" applyFill="1" applyBorder="1"/>
    <xf numFmtId="0" fontId="20" fillId="0" borderId="23" xfId="0" applyFont="1" applyBorder="1"/>
    <xf numFmtId="0" fontId="20" fillId="0" borderId="24" xfId="0" applyFont="1" applyBorder="1"/>
    <xf numFmtId="0" fontId="20" fillId="0" borderId="25" xfId="0" applyFont="1" applyBorder="1"/>
    <xf numFmtId="0" fontId="20" fillId="0" borderId="0" xfId="0" applyFont="1"/>
    <xf numFmtId="0" fontId="20" fillId="0" borderId="26" xfId="0" applyFont="1" applyBorder="1"/>
    <xf numFmtId="0" fontId="20" fillId="0" borderId="27" xfId="0" applyFont="1" applyBorder="1"/>
    <xf numFmtId="0" fontId="20" fillId="0" borderId="28" xfId="0" applyFont="1" applyBorder="1"/>
    <xf numFmtId="0" fontId="21" fillId="23" borderId="29" xfId="0" applyFont="1" applyFill="1" applyBorder="1" applyAlignment="1">
      <alignment horizontal="left" vertical="center"/>
    </xf>
    <xf numFmtId="0" fontId="20" fillId="3" borderId="30" xfId="0" applyFont="1" applyFill="1" applyBorder="1" applyAlignment="1">
      <alignment vertical="center" wrapText="1"/>
    </xf>
    <xf numFmtId="0" fontId="22" fillId="23" borderId="31" xfId="0" applyFont="1" applyFill="1" applyBorder="1" applyAlignment="1">
      <alignment horizontal="left" vertical="center"/>
    </xf>
    <xf numFmtId="165" fontId="23" fillId="0" borderId="32" xfId="0" applyNumberFormat="1" applyFont="1" applyBorder="1" applyAlignment="1">
      <alignment horizontal="left" vertical="center" wrapText="1"/>
    </xf>
    <xf numFmtId="0" fontId="21" fillId="23" borderId="33" xfId="0" applyFont="1" applyFill="1" applyBorder="1" applyAlignment="1">
      <alignment horizontal="left" vertical="center"/>
    </xf>
    <xf numFmtId="0" fontId="20" fillId="3" borderId="34" xfId="0" applyFont="1" applyFill="1" applyBorder="1" applyAlignment="1">
      <alignment vertical="center"/>
    </xf>
    <xf numFmtId="0" fontId="21" fillId="23" borderId="33" xfId="0" applyFont="1" applyFill="1" applyBorder="1" applyAlignment="1">
      <alignment horizontal="left" vertical="center" wrapText="1"/>
    </xf>
    <xf numFmtId="0" fontId="20" fillId="3" borderId="34" xfId="0" applyFont="1" applyFill="1" applyBorder="1" applyAlignment="1">
      <alignment vertical="center" wrapText="1"/>
    </xf>
    <xf numFmtId="0" fontId="24" fillId="0" borderId="23" xfId="0" applyFont="1" applyBorder="1" applyAlignment="1">
      <alignment vertical="center" wrapText="1"/>
    </xf>
    <xf numFmtId="0" fontId="24" fillId="0" borderId="35" xfId="0" applyFont="1" applyBorder="1" applyAlignment="1">
      <alignment vertical="center" wrapText="1"/>
    </xf>
    <xf numFmtId="0" fontId="25" fillId="0" borderId="23" xfId="0" applyFont="1" applyBorder="1" applyAlignment="1">
      <alignment vertical="center" wrapText="1"/>
    </xf>
    <xf numFmtId="0" fontId="24" fillId="3" borderId="35" xfId="0" applyFont="1" applyFill="1" applyBorder="1" applyAlignment="1">
      <alignment vertical="center" wrapText="1"/>
    </xf>
    <xf numFmtId="0" fontId="20" fillId="3" borderId="34" xfId="0" applyFont="1" applyFill="1" applyBorder="1" applyAlignment="1">
      <alignment horizontal="left" vertical="center" wrapText="1"/>
    </xf>
    <xf numFmtId="0" fontId="21" fillId="23" borderId="36" xfId="0" applyFont="1" applyFill="1" applyBorder="1" applyAlignment="1">
      <alignment horizontal="left" vertical="center"/>
    </xf>
    <xf numFmtId="0" fontId="27" fillId="3" borderId="37" xfId="8" applyFont="1" applyFill="1" applyBorder="1" applyAlignment="1" applyProtection="1">
      <alignment vertical="center" wrapText="1"/>
    </xf>
    <xf numFmtId="0" fontId="28" fillId="0" borderId="35" xfId="0" applyFont="1" applyBorder="1" applyAlignment="1">
      <alignment horizontal="left" vertical="center" wrapText="1"/>
    </xf>
    <xf numFmtId="0" fontId="21" fillId="23" borderId="38" xfId="0" applyFont="1" applyFill="1" applyBorder="1" applyAlignment="1">
      <alignment horizontal="left" vertical="center"/>
    </xf>
    <xf numFmtId="0" fontId="20" fillId="0" borderId="34" xfId="0" applyFont="1" applyBorder="1" applyAlignment="1">
      <alignment vertical="top" wrapText="1"/>
    </xf>
    <xf numFmtId="0" fontId="21" fillId="23" borderId="39" xfId="0" applyFont="1" applyFill="1" applyBorder="1" applyAlignment="1">
      <alignment horizontal="left" vertical="center"/>
    </xf>
    <xf numFmtId="0" fontId="24" fillId="3" borderId="40" xfId="0" applyFont="1" applyFill="1" applyBorder="1" applyAlignment="1">
      <alignment vertical="center" wrapText="1"/>
    </xf>
    <xf numFmtId="0" fontId="17" fillId="20" borderId="41" xfId="0" applyFont="1" applyFill="1" applyBorder="1" applyAlignment="1">
      <alignment horizontal="center" vertical="center"/>
    </xf>
    <xf numFmtId="0" fontId="17" fillId="21" borderId="41" xfId="0" applyFont="1" applyFill="1" applyBorder="1" applyAlignment="1">
      <alignment horizontal="center" vertical="center"/>
    </xf>
    <xf numFmtId="0" fontId="9" fillId="18" borderId="3" xfId="0" applyFont="1" applyFill="1" applyBorder="1" applyAlignment="1">
      <alignment horizontal="center"/>
    </xf>
    <xf numFmtId="0" fontId="10" fillId="0" borderId="22" xfId="0" applyFont="1" applyBorder="1"/>
    <xf numFmtId="1" fontId="12" fillId="0" borderId="22" xfId="7" applyNumberFormat="1" applyFont="1" applyBorder="1">
      <alignment vertical="center"/>
    </xf>
    <xf numFmtId="1" fontId="10" fillId="0" borderId="22" xfId="0" applyNumberFormat="1" applyFont="1" applyBorder="1"/>
    <xf numFmtId="3" fontId="12" fillId="0" borderId="22" xfId="0" applyNumberFormat="1" applyFont="1" applyFill="1" applyBorder="1" applyAlignment="1"/>
    <xf numFmtId="2" fontId="10" fillId="15" borderId="1" xfId="0" applyNumberFormat="1" applyFont="1" applyFill="1" applyBorder="1"/>
    <xf numFmtId="0" fontId="0" fillId="3" borderId="0" xfId="0" applyFill="1"/>
    <xf numFmtId="0" fontId="6" fillId="3" borderId="1" xfId="0" applyFont="1" applyFill="1" applyBorder="1"/>
    <xf numFmtId="0" fontId="10" fillId="0" borderId="17" xfId="0" applyFont="1" applyBorder="1"/>
    <xf numFmtId="0" fontId="10" fillId="0" borderId="9" xfId="0" applyFont="1" applyBorder="1"/>
    <xf numFmtId="2" fontId="10" fillId="0" borderId="0" xfId="0" applyNumberFormat="1" applyFont="1" applyBorder="1"/>
    <xf numFmtId="2" fontId="10" fillId="0" borderId="9" xfId="0" applyNumberFormat="1" applyFont="1" applyBorder="1"/>
    <xf numFmtId="2" fontId="10" fillId="0" borderId="15" xfId="0" applyNumberFormat="1" applyFont="1" applyBorder="1"/>
    <xf numFmtId="2" fontId="10" fillId="0" borderId="19" xfId="0" applyNumberFormat="1" applyFont="1" applyBorder="1"/>
    <xf numFmtId="0" fontId="10" fillId="0" borderId="20" xfId="0" applyFont="1" applyBorder="1"/>
    <xf numFmtId="0" fontId="10" fillId="0" borderId="43" xfId="0" applyFont="1" applyBorder="1"/>
    <xf numFmtId="0" fontId="10" fillId="0" borderId="10" xfId="0" applyFont="1" applyBorder="1"/>
    <xf numFmtId="0" fontId="9" fillId="0" borderId="17" xfId="0" applyFont="1" applyBorder="1"/>
    <xf numFmtId="0" fontId="9" fillId="0" borderId="0" xfId="0" applyFont="1" applyBorder="1"/>
    <xf numFmtId="0" fontId="9" fillId="0" borderId="9" xfId="0" applyFont="1" applyBorder="1"/>
    <xf numFmtId="0" fontId="9" fillId="0" borderId="0" xfId="0" applyFont="1" applyBorder="1" applyAlignment="1">
      <alignment horizontal="right"/>
    </xf>
    <xf numFmtId="0" fontId="9" fillId="0" borderId="9" xfId="0" applyFont="1" applyBorder="1" applyAlignment="1">
      <alignment horizontal="right"/>
    </xf>
    <xf numFmtId="0" fontId="9" fillId="0" borderId="17" xfId="0" applyFont="1" applyBorder="1" applyAlignment="1">
      <alignment horizontal="left"/>
    </xf>
    <xf numFmtId="2" fontId="9" fillId="0" borderId="0" xfId="0" applyNumberFormat="1" applyFont="1" applyBorder="1"/>
    <xf numFmtId="2" fontId="9" fillId="0" borderId="9" xfId="0" applyNumberFormat="1" applyFont="1" applyBorder="1"/>
    <xf numFmtId="2" fontId="9" fillId="0" borderId="0" xfId="0" applyNumberFormat="1" applyFont="1" applyBorder="1" applyAlignment="1">
      <alignment horizontal="right"/>
    </xf>
    <xf numFmtId="2" fontId="9" fillId="0" borderId="9" xfId="0" applyNumberFormat="1" applyFont="1" applyBorder="1" applyAlignment="1">
      <alignment horizontal="right"/>
    </xf>
    <xf numFmtId="2" fontId="10" fillId="0" borderId="0" xfId="0" applyNumberFormat="1" applyFont="1" applyBorder="1" applyAlignment="1">
      <alignment horizontal="right"/>
    </xf>
    <xf numFmtId="2" fontId="10" fillId="0" borderId="9" xfId="0" applyNumberFormat="1" applyFont="1" applyBorder="1" applyAlignment="1">
      <alignment horizontal="right"/>
    </xf>
    <xf numFmtId="0" fontId="9" fillId="0" borderId="18" xfId="0" applyFont="1" applyBorder="1"/>
    <xf numFmtId="2" fontId="9" fillId="0" borderId="15" xfId="0" applyNumberFormat="1" applyFont="1" applyBorder="1"/>
    <xf numFmtId="2" fontId="9" fillId="0" borderId="19" xfId="0" applyNumberFormat="1" applyFont="1" applyBorder="1"/>
    <xf numFmtId="2" fontId="10" fillId="0" borderId="17" xfId="0" applyNumberFormat="1" applyFont="1" applyBorder="1"/>
    <xf numFmtId="2" fontId="10" fillId="0" borderId="18" xfId="0" applyNumberFormat="1" applyFont="1" applyBorder="1"/>
    <xf numFmtId="2" fontId="9" fillId="0" borderId="17" xfId="0" applyNumberFormat="1" applyFont="1" applyBorder="1"/>
    <xf numFmtId="2" fontId="9" fillId="0" borderId="18" xfId="0" applyNumberFormat="1" applyFont="1" applyBorder="1"/>
    <xf numFmtId="2" fontId="9" fillId="0" borderId="42" xfId="0" applyNumberFormat="1" applyFont="1" applyBorder="1"/>
    <xf numFmtId="14" fontId="10" fillId="3" borderId="0" xfId="0" applyNumberFormat="1" applyFont="1" applyFill="1" applyBorder="1"/>
    <xf numFmtId="0" fontId="10" fillId="3" borderId="0" xfId="0" applyFont="1" applyFill="1" applyBorder="1" applyAlignment="1">
      <alignment horizontal="left"/>
    </xf>
    <xf numFmtId="14" fontId="10" fillId="3" borderId="0" xfId="0" applyNumberFormat="1" applyFont="1" applyFill="1" applyBorder="1" applyAlignment="1">
      <alignment horizontal="left"/>
    </xf>
    <xf numFmtId="0" fontId="0" fillId="3" borderId="0" xfId="0" applyFill="1" applyBorder="1"/>
    <xf numFmtId="0" fontId="10" fillId="24" borderId="44" xfId="0" applyFont="1" applyFill="1" applyBorder="1"/>
    <xf numFmtId="0" fontId="10" fillId="24" borderId="45" xfId="0" applyFont="1" applyFill="1" applyBorder="1"/>
    <xf numFmtId="0" fontId="10" fillId="3" borderId="46" xfId="0" applyFont="1" applyFill="1" applyBorder="1"/>
    <xf numFmtId="0" fontId="10" fillId="3" borderId="47" xfId="0" applyFont="1" applyFill="1" applyBorder="1"/>
    <xf numFmtId="14" fontId="10" fillId="3" borderId="48" xfId="0" applyNumberFormat="1" applyFont="1" applyFill="1" applyBorder="1" applyAlignment="1">
      <alignment horizontal="left"/>
    </xf>
    <xf numFmtId="0" fontId="10" fillId="3" borderId="9" xfId="0" applyFont="1" applyFill="1" applyBorder="1" applyAlignment="1">
      <alignment horizontal="left"/>
    </xf>
    <xf numFmtId="14" fontId="10" fillId="3" borderId="46" xfId="0" applyNumberFormat="1" applyFont="1" applyFill="1" applyBorder="1"/>
    <xf numFmtId="14" fontId="10" fillId="3" borderId="49" xfId="0" applyNumberFormat="1" applyFont="1" applyFill="1" applyBorder="1"/>
    <xf numFmtId="14" fontId="10" fillId="3" borderId="50" xfId="0" applyNumberFormat="1" applyFont="1" applyFill="1" applyBorder="1"/>
    <xf numFmtId="14" fontId="10" fillId="3" borderId="51" xfId="0" applyNumberFormat="1" applyFont="1" applyFill="1" applyBorder="1"/>
    <xf numFmtId="0" fontId="10" fillId="3" borderId="49" xfId="0" applyFont="1" applyFill="1" applyBorder="1"/>
    <xf numFmtId="14" fontId="10" fillId="3" borderId="52" xfId="0" applyNumberFormat="1" applyFont="1" applyFill="1" applyBorder="1" applyAlignment="1">
      <alignment horizontal="left"/>
    </xf>
    <xf numFmtId="14" fontId="10" fillId="3" borderId="53" xfId="0" applyNumberFormat="1" applyFont="1" applyFill="1" applyBorder="1" applyAlignment="1">
      <alignment horizontal="left"/>
    </xf>
    <xf numFmtId="0" fontId="10" fillId="0" borderId="20" xfId="0" applyFont="1" applyBorder="1" applyAlignment="1">
      <alignment horizontal="center"/>
    </xf>
    <xf numFmtId="0" fontId="10" fillId="0" borderId="43" xfId="0" applyFont="1" applyBorder="1" applyAlignment="1">
      <alignment horizontal="center"/>
    </xf>
    <xf numFmtId="0" fontId="10" fillId="0" borderId="10" xfId="0" applyFont="1" applyBorder="1" applyAlignment="1">
      <alignment horizontal="center"/>
    </xf>
  </cellXfs>
  <cellStyles count="9">
    <cellStyle name="Bad" xfId="3" builtinId="27"/>
    <cellStyle name="Calculation" xfId="5" builtinId="22"/>
    <cellStyle name="Check Cell" xfId="6" builtinId="23"/>
    <cellStyle name="Good" xfId="2" builtinId="26"/>
    <cellStyle name="Hyperlink" xfId="8" builtinId="8"/>
    <cellStyle name="Neutral" xfId="4" builtinId="28"/>
    <cellStyle name="Normal" xfId="0" builtinId="0"/>
    <cellStyle name="Normal 2" xfId="7" xr:uid="{00000000-0005-0000-0000-000007000000}"/>
    <cellStyle name="Percent" xfId="1" builtinId="5"/>
  </cellStyles>
  <dxfs count="0"/>
  <tableStyles count="0" defaultTableStyle="TableStyleMedium2" defaultPivotStyle="PivotStyleLight16"/>
  <colors>
    <mruColors>
      <color rgb="FFDDDDDD"/>
      <color rgb="FFFF66CC"/>
      <color rgb="FF33CC33"/>
      <color rgb="FF990000"/>
      <color rgb="FF0AC8E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2360508</xdr:colOff>
      <xdr:row>1</xdr:row>
      <xdr:rowOff>131118</xdr:rowOff>
    </xdr:from>
    <xdr:to>
      <xdr:col>3</xdr:col>
      <xdr:colOff>3476626</xdr:colOff>
      <xdr:row>4</xdr:row>
      <xdr:rowOff>187428</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694258" y="378768"/>
          <a:ext cx="1116118" cy="79926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mailto:info@ghgplatform-india.org"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80"/>
  <sheetViews>
    <sheetView tabSelected="1" zoomScale="80" zoomScaleNormal="80" workbookViewId="0">
      <selection activeCell="D16" sqref="D16"/>
    </sheetView>
  </sheetViews>
  <sheetFormatPr defaultColWidth="11.42578125" defaultRowHeight="19.5" x14ac:dyDescent="0.3"/>
  <cols>
    <col min="1" max="2" width="11.42578125" style="134"/>
    <col min="3" max="3" width="27.140625" style="134" customWidth="1"/>
    <col min="4" max="4" width="126" style="134" customWidth="1"/>
    <col min="5" max="5" width="11.42578125" style="134"/>
    <col min="6" max="6" width="42.28515625" style="134" customWidth="1"/>
    <col min="7" max="16384" width="11.42578125" style="134"/>
  </cols>
  <sheetData>
    <row r="1" spans="1:6" x14ac:dyDescent="0.3">
      <c r="A1" s="131"/>
      <c r="B1" s="132"/>
      <c r="C1" s="131"/>
      <c r="D1" s="133"/>
      <c r="E1" s="131"/>
      <c r="F1" s="131"/>
    </row>
    <row r="2" spans="1:6" x14ac:dyDescent="0.3">
      <c r="A2" s="133"/>
      <c r="B2" s="131"/>
      <c r="C2" s="135"/>
      <c r="D2" s="133"/>
      <c r="E2" s="131"/>
      <c r="F2" s="131"/>
    </row>
    <row r="3" spans="1:6" x14ac:dyDescent="0.3">
      <c r="A3" s="131"/>
      <c r="B3" s="136"/>
      <c r="C3" s="131"/>
      <c r="D3" s="133"/>
      <c r="E3" s="131"/>
      <c r="F3" s="131"/>
    </row>
    <row r="4" spans="1:6" x14ac:dyDescent="0.3">
      <c r="A4" s="131"/>
      <c r="B4" s="131"/>
      <c r="C4" s="131"/>
      <c r="D4" s="133"/>
      <c r="E4" s="131"/>
      <c r="F4" s="131"/>
    </row>
    <row r="5" spans="1:6" ht="20.25" thickBot="1" x14ac:dyDescent="0.35">
      <c r="A5" s="131"/>
      <c r="B5" s="131"/>
      <c r="C5" s="132"/>
      <c r="D5" s="137"/>
      <c r="E5" s="131"/>
      <c r="F5" s="131"/>
    </row>
    <row r="6" spans="1:6" ht="20.25" thickBot="1" x14ac:dyDescent="0.35">
      <c r="A6" s="131"/>
      <c r="B6" s="133"/>
      <c r="C6" s="138" t="s">
        <v>184</v>
      </c>
      <c r="D6" s="139" t="s">
        <v>185</v>
      </c>
      <c r="E6" s="135"/>
      <c r="F6" s="131"/>
    </row>
    <row r="7" spans="1:6" x14ac:dyDescent="0.3">
      <c r="A7" s="131"/>
      <c r="B7" s="133"/>
      <c r="C7" s="140" t="s">
        <v>186</v>
      </c>
      <c r="D7" s="141" t="s">
        <v>187</v>
      </c>
      <c r="E7" s="135"/>
      <c r="F7" s="131"/>
    </row>
    <row r="8" spans="1:6" ht="23.25" customHeight="1" x14ac:dyDescent="0.3">
      <c r="A8" s="131"/>
      <c r="B8" s="133"/>
      <c r="C8" s="142" t="s">
        <v>188</v>
      </c>
      <c r="D8" s="143" t="s">
        <v>189</v>
      </c>
      <c r="E8" s="135"/>
      <c r="F8" s="131"/>
    </row>
    <row r="9" spans="1:6" ht="39" x14ac:dyDescent="0.3">
      <c r="A9" s="131"/>
      <c r="B9" s="133"/>
      <c r="C9" s="144" t="s">
        <v>190</v>
      </c>
      <c r="D9" s="143" t="s">
        <v>191</v>
      </c>
      <c r="E9" s="135"/>
      <c r="F9" s="131"/>
    </row>
    <row r="10" spans="1:6" ht="39" x14ac:dyDescent="0.3">
      <c r="A10" s="131"/>
      <c r="B10" s="133"/>
      <c r="C10" s="144" t="s">
        <v>192</v>
      </c>
      <c r="D10" s="145" t="s">
        <v>193</v>
      </c>
      <c r="E10" s="135"/>
      <c r="F10" s="146"/>
    </row>
    <row r="11" spans="1:6" ht="156" x14ac:dyDescent="0.3">
      <c r="A11" s="131"/>
      <c r="B11" s="133"/>
      <c r="C11" s="144" t="s">
        <v>194</v>
      </c>
      <c r="D11" s="147" t="s">
        <v>195</v>
      </c>
      <c r="E11" s="135"/>
      <c r="F11" s="148"/>
    </row>
    <row r="12" spans="1:6" ht="97.5" x14ac:dyDescent="0.3">
      <c r="A12" s="131"/>
      <c r="B12" s="133"/>
      <c r="C12" s="142" t="s">
        <v>196</v>
      </c>
      <c r="D12" s="149" t="s">
        <v>197</v>
      </c>
      <c r="E12" s="135"/>
      <c r="F12" s="146"/>
    </row>
    <row r="13" spans="1:6" ht="26.25" customHeight="1" x14ac:dyDescent="0.3">
      <c r="A13" s="131"/>
      <c r="B13" s="133"/>
      <c r="C13" s="142" t="s">
        <v>198</v>
      </c>
      <c r="D13" s="150" t="s">
        <v>199</v>
      </c>
      <c r="E13" s="135"/>
      <c r="F13" s="131"/>
    </row>
    <row r="14" spans="1:6" ht="26.25" customHeight="1" x14ac:dyDescent="0.3">
      <c r="A14" s="131"/>
      <c r="B14" s="133"/>
      <c r="C14" s="151" t="s">
        <v>200</v>
      </c>
      <c r="D14" s="152" t="s">
        <v>201</v>
      </c>
      <c r="E14" s="135"/>
      <c r="F14" s="131"/>
    </row>
    <row r="15" spans="1:6" ht="156" x14ac:dyDescent="0.3">
      <c r="A15" s="131"/>
      <c r="B15" s="133"/>
      <c r="C15" s="144" t="s">
        <v>202</v>
      </c>
      <c r="D15" s="153" t="s">
        <v>203</v>
      </c>
      <c r="E15" s="135"/>
      <c r="F15" s="131"/>
    </row>
    <row r="16" spans="1:6" ht="98.25" customHeight="1" x14ac:dyDescent="0.3">
      <c r="A16" s="131"/>
      <c r="B16" s="133"/>
      <c r="C16" s="154" t="s">
        <v>204</v>
      </c>
      <c r="D16" s="155" t="s">
        <v>220</v>
      </c>
      <c r="E16" s="135"/>
      <c r="F16" s="131"/>
    </row>
    <row r="17" spans="1:6" ht="137.25" thickBot="1" x14ac:dyDescent="0.35">
      <c r="A17" s="131"/>
      <c r="B17" s="131"/>
      <c r="C17" s="156" t="s">
        <v>205</v>
      </c>
      <c r="D17" s="157" t="s">
        <v>206</v>
      </c>
      <c r="E17" s="131"/>
      <c r="F17" s="131"/>
    </row>
    <row r="18" spans="1:6" x14ac:dyDescent="0.3">
      <c r="A18" s="131"/>
      <c r="B18" s="131"/>
      <c r="C18" s="131"/>
      <c r="D18" s="131"/>
      <c r="E18" s="131"/>
      <c r="F18" s="131"/>
    </row>
    <row r="19" spans="1:6" x14ac:dyDescent="0.3">
      <c r="A19" s="131"/>
      <c r="B19" s="131"/>
      <c r="C19" s="131"/>
      <c r="D19" s="131"/>
      <c r="E19" s="131"/>
      <c r="F19" s="131"/>
    </row>
    <row r="20" spans="1:6" x14ac:dyDescent="0.3">
      <c r="A20" s="131"/>
      <c r="B20" s="131"/>
      <c r="C20" s="131"/>
      <c r="D20" s="131"/>
      <c r="E20" s="131"/>
      <c r="F20" s="131"/>
    </row>
    <row r="21" spans="1:6" x14ac:dyDescent="0.3">
      <c r="A21" s="131"/>
      <c r="B21" s="131"/>
      <c r="C21" s="131"/>
      <c r="D21" s="131"/>
      <c r="E21" s="131"/>
      <c r="F21" s="131"/>
    </row>
    <row r="22" spans="1:6" x14ac:dyDescent="0.3">
      <c r="A22" s="131"/>
      <c r="B22" s="131"/>
      <c r="C22" s="131"/>
      <c r="D22" s="131"/>
      <c r="E22" s="131"/>
      <c r="F22" s="131"/>
    </row>
    <row r="23" spans="1:6" x14ac:dyDescent="0.3">
      <c r="A23" s="131"/>
      <c r="B23" s="131"/>
      <c r="C23" s="131"/>
      <c r="D23" s="131"/>
      <c r="E23" s="131"/>
      <c r="F23" s="131"/>
    </row>
    <row r="24" spans="1:6" x14ac:dyDescent="0.3">
      <c r="A24" s="131"/>
      <c r="B24" s="131"/>
      <c r="C24" s="131"/>
      <c r="D24" s="131"/>
      <c r="E24" s="131"/>
      <c r="F24" s="131"/>
    </row>
    <row r="25" spans="1:6" x14ac:dyDescent="0.3">
      <c r="A25" s="131"/>
      <c r="B25" s="131"/>
      <c r="C25" s="131"/>
      <c r="D25" s="131"/>
      <c r="E25" s="131"/>
      <c r="F25" s="131"/>
    </row>
    <row r="26" spans="1:6" x14ac:dyDescent="0.3">
      <c r="A26" s="131"/>
      <c r="B26" s="131"/>
      <c r="C26" s="131"/>
      <c r="D26" s="131"/>
      <c r="E26" s="131"/>
      <c r="F26" s="131"/>
    </row>
    <row r="27" spans="1:6" x14ac:dyDescent="0.3">
      <c r="A27" s="131"/>
      <c r="B27" s="131"/>
      <c r="C27" s="131"/>
      <c r="D27" s="131"/>
      <c r="E27" s="131"/>
      <c r="F27" s="131"/>
    </row>
    <row r="28" spans="1:6" x14ac:dyDescent="0.3">
      <c r="A28" s="131"/>
      <c r="B28" s="131"/>
      <c r="C28" s="131"/>
      <c r="D28" s="131"/>
      <c r="E28" s="131"/>
      <c r="F28" s="131"/>
    </row>
    <row r="29" spans="1:6" x14ac:dyDescent="0.3">
      <c r="A29" s="131"/>
      <c r="B29" s="131"/>
      <c r="C29" s="131"/>
      <c r="D29" s="131"/>
      <c r="E29" s="131"/>
      <c r="F29" s="131"/>
    </row>
    <row r="30" spans="1:6" x14ac:dyDescent="0.3">
      <c r="A30" s="131"/>
      <c r="B30" s="131"/>
      <c r="C30" s="131"/>
      <c r="D30" s="131"/>
      <c r="E30" s="131"/>
      <c r="F30" s="131"/>
    </row>
    <row r="31" spans="1:6" x14ac:dyDescent="0.3">
      <c r="A31" s="131"/>
      <c r="B31" s="131"/>
      <c r="C31" s="131"/>
      <c r="D31" s="131"/>
      <c r="E31" s="131"/>
      <c r="F31" s="131"/>
    </row>
    <row r="32" spans="1:6" x14ac:dyDescent="0.3">
      <c r="A32" s="131"/>
      <c r="B32" s="131"/>
      <c r="C32" s="131"/>
      <c r="D32" s="131"/>
      <c r="E32" s="131"/>
      <c r="F32" s="131"/>
    </row>
    <row r="33" spans="1:6" x14ac:dyDescent="0.3">
      <c r="A33" s="131"/>
      <c r="B33" s="131"/>
      <c r="C33" s="131"/>
      <c r="D33" s="131"/>
      <c r="E33" s="131"/>
      <c r="F33" s="131"/>
    </row>
    <row r="34" spans="1:6" x14ac:dyDescent="0.3">
      <c r="A34" s="131"/>
      <c r="B34" s="131"/>
      <c r="C34" s="131"/>
      <c r="D34" s="131"/>
      <c r="E34" s="131"/>
      <c r="F34" s="131"/>
    </row>
    <row r="35" spans="1:6" x14ac:dyDescent="0.3">
      <c r="A35" s="131"/>
      <c r="B35" s="131"/>
      <c r="C35" s="131"/>
      <c r="D35" s="131"/>
      <c r="E35" s="131"/>
      <c r="F35" s="131"/>
    </row>
    <row r="36" spans="1:6" x14ac:dyDescent="0.3">
      <c r="A36" s="131"/>
      <c r="B36" s="131"/>
      <c r="C36" s="131"/>
      <c r="D36" s="131"/>
      <c r="E36" s="131"/>
      <c r="F36" s="131"/>
    </row>
    <row r="37" spans="1:6" x14ac:dyDescent="0.3">
      <c r="A37" s="131"/>
      <c r="B37" s="131"/>
      <c r="C37" s="131"/>
      <c r="D37" s="131"/>
      <c r="E37" s="131"/>
      <c r="F37" s="131"/>
    </row>
    <row r="38" spans="1:6" x14ac:dyDescent="0.3">
      <c r="A38" s="131"/>
      <c r="B38" s="131"/>
      <c r="C38" s="131"/>
      <c r="D38" s="131"/>
      <c r="E38" s="131"/>
      <c r="F38" s="131"/>
    </row>
    <row r="39" spans="1:6" x14ac:dyDescent="0.3">
      <c r="A39" s="131"/>
      <c r="B39" s="131"/>
      <c r="C39" s="131"/>
      <c r="D39" s="131"/>
      <c r="E39" s="131"/>
      <c r="F39" s="131"/>
    </row>
    <row r="40" spans="1:6" x14ac:dyDescent="0.3">
      <c r="A40" s="131"/>
      <c r="B40" s="131"/>
      <c r="C40" s="131"/>
      <c r="D40" s="131"/>
      <c r="E40" s="131"/>
      <c r="F40" s="131"/>
    </row>
    <row r="41" spans="1:6" x14ac:dyDescent="0.3">
      <c r="A41" s="131"/>
      <c r="B41" s="131"/>
      <c r="C41" s="131"/>
      <c r="D41" s="131"/>
      <c r="E41" s="131"/>
      <c r="F41" s="131"/>
    </row>
    <row r="42" spans="1:6" x14ac:dyDescent="0.3">
      <c r="A42" s="131"/>
      <c r="B42" s="131"/>
      <c r="C42" s="131"/>
      <c r="D42" s="131"/>
      <c r="E42" s="131"/>
      <c r="F42" s="131"/>
    </row>
    <row r="43" spans="1:6" x14ac:dyDescent="0.3">
      <c r="A43" s="131"/>
      <c r="B43" s="131"/>
      <c r="C43" s="131"/>
      <c r="D43" s="131"/>
      <c r="E43" s="131"/>
      <c r="F43" s="131"/>
    </row>
    <row r="44" spans="1:6" x14ac:dyDescent="0.3">
      <c r="A44" s="131"/>
      <c r="B44" s="131"/>
      <c r="C44" s="131"/>
      <c r="D44" s="131"/>
      <c r="E44" s="131"/>
      <c r="F44" s="131"/>
    </row>
    <row r="45" spans="1:6" x14ac:dyDescent="0.3">
      <c r="A45" s="131"/>
      <c r="B45" s="131"/>
      <c r="C45" s="131"/>
      <c r="D45" s="131"/>
      <c r="E45" s="131"/>
      <c r="F45" s="131"/>
    </row>
    <row r="46" spans="1:6" x14ac:dyDescent="0.3">
      <c r="A46" s="131"/>
      <c r="B46" s="131"/>
      <c r="C46" s="131"/>
      <c r="D46" s="131"/>
      <c r="E46" s="131"/>
      <c r="F46" s="131"/>
    </row>
    <row r="47" spans="1:6" x14ac:dyDescent="0.3">
      <c r="A47" s="131"/>
      <c r="B47" s="131"/>
      <c r="C47" s="131"/>
      <c r="D47" s="131"/>
      <c r="E47" s="131"/>
      <c r="F47" s="131"/>
    </row>
    <row r="48" spans="1:6" x14ac:dyDescent="0.3">
      <c r="A48" s="131"/>
      <c r="B48" s="131"/>
      <c r="C48" s="131"/>
      <c r="D48" s="131"/>
      <c r="E48" s="131"/>
      <c r="F48" s="131"/>
    </row>
    <row r="49" spans="1:6" x14ac:dyDescent="0.3">
      <c r="A49" s="131"/>
      <c r="B49" s="131"/>
      <c r="C49" s="131"/>
      <c r="D49" s="131"/>
      <c r="E49" s="131"/>
      <c r="F49" s="131"/>
    </row>
    <row r="50" spans="1:6" x14ac:dyDescent="0.3">
      <c r="A50" s="131"/>
      <c r="B50" s="131"/>
      <c r="C50" s="131"/>
      <c r="D50" s="131"/>
      <c r="E50" s="131"/>
      <c r="F50" s="131"/>
    </row>
    <row r="51" spans="1:6" x14ac:dyDescent="0.3">
      <c r="A51" s="131"/>
      <c r="B51" s="131"/>
      <c r="C51" s="131"/>
      <c r="D51" s="131"/>
      <c r="E51" s="131"/>
      <c r="F51" s="131"/>
    </row>
    <row r="52" spans="1:6" x14ac:dyDescent="0.3">
      <c r="A52" s="131"/>
      <c r="B52" s="131"/>
      <c r="C52" s="131"/>
      <c r="D52" s="131"/>
      <c r="E52" s="131"/>
      <c r="F52" s="131"/>
    </row>
    <row r="53" spans="1:6" x14ac:dyDescent="0.3">
      <c r="A53" s="131"/>
      <c r="B53" s="131"/>
      <c r="C53" s="131"/>
      <c r="D53" s="131"/>
      <c r="E53" s="131"/>
      <c r="F53" s="131"/>
    </row>
    <row r="54" spans="1:6" x14ac:dyDescent="0.3">
      <c r="A54" s="131"/>
      <c r="B54" s="131"/>
      <c r="C54" s="131"/>
      <c r="D54" s="131"/>
      <c r="E54" s="131"/>
      <c r="F54" s="131"/>
    </row>
    <row r="55" spans="1:6" x14ac:dyDescent="0.3">
      <c r="A55" s="131"/>
      <c r="B55" s="131"/>
      <c r="C55" s="131"/>
      <c r="D55" s="131"/>
      <c r="E55" s="131"/>
      <c r="F55" s="131"/>
    </row>
    <row r="56" spans="1:6" x14ac:dyDescent="0.3">
      <c r="A56" s="131"/>
      <c r="B56" s="131"/>
      <c r="C56" s="131"/>
      <c r="D56" s="131"/>
      <c r="E56" s="131"/>
      <c r="F56" s="131"/>
    </row>
    <row r="57" spans="1:6" x14ac:dyDescent="0.3">
      <c r="A57" s="131"/>
      <c r="B57" s="131"/>
      <c r="C57" s="131"/>
      <c r="D57" s="131"/>
      <c r="E57" s="131"/>
      <c r="F57" s="131"/>
    </row>
    <row r="58" spans="1:6" x14ac:dyDescent="0.3">
      <c r="A58" s="131"/>
      <c r="B58" s="131"/>
      <c r="C58" s="131"/>
      <c r="D58" s="131"/>
      <c r="E58" s="131"/>
      <c r="F58" s="131"/>
    </row>
    <row r="59" spans="1:6" x14ac:dyDescent="0.3">
      <c r="A59" s="131"/>
      <c r="B59" s="131"/>
    </row>
    <row r="60" spans="1:6" x14ac:dyDescent="0.3">
      <c r="A60" s="131"/>
      <c r="B60" s="131"/>
    </row>
    <row r="61" spans="1:6" x14ac:dyDescent="0.3">
      <c r="A61" s="131"/>
      <c r="B61" s="131"/>
    </row>
    <row r="62" spans="1:6" x14ac:dyDescent="0.3">
      <c r="A62" s="131"/>
      <c r="B62" s="131"/>
    </row>
    <row r="63" spans="1:6" x14ac:dyDescent="0.3">
      <c r="A63" s="131"/>
      <c r="B63" s="131"/>
    </row>
    <row r="64" spans="1:6" x14ac:dyDescent="0.3">
      <c r="A64" s="131"/>
      <c r="B64" s="131"/>
    </row>
    <row r="65" spans="1:2" x14ac:dyDescent="0.3">
      <c r="A65" s="131"/>
      <c r="B65" s="131"/>
    </row>
    <row r="66" spans="1:2" x14ac:dyDescent="0.3">
      <c r="A66" s="131"/>
      <c r="B66" s="131"/>
    </row>
    <row r="67" spans="1:2" x14ac:dyDescent="0.3">
      <c r="A67" s="131"/>
      <c r="B67" s="131"/>
    </row>
    <row r="68" spans="1:2" x14ac:dyDescent="0.3">
      <c r="A68" s="131"/>
      <c r="B68" s="131"/>
    </row>
    <row r="69" spans="1:2" x14ac:dyDescent="0.3">
      <c r="A69" s="131"/>
      <c r="B69" s="131"/>
    </row>
    <row r="70" spans="1:2" x14ac:dyDescent="0.3">
      <c r="A70" s="131"/>
      <c r="B70" s="131"/>
    </row>
    <row r="71" spans="1:2" x14ac:dyDescent="0.3">
      <c r="A71" s="131"/>
      <c r="B71" s="131"/>
    </row>
    <row r="72" spans="1:2" x14ac:dyDescent="0.3">
      <c r="A72" s="131"/>
      <c r="B72" s="131"/>
    </row>
    <row r="73" spans="1:2" x14ac:dyDescent="0.3">
      <c r="A73" s="131"/>
      <c r="B73" s="131"/>
    </row>
    <row r="74" spans="1:2" x14ac:dyDescent="0.3">
      <c r="A74" s="131"/>
      <c r="B74" s="131"/>
    </row>
    <row r="75" spans="1:2" x14ac:dyDescent="0.3">
      <c r="A75" s="131"/>
      <c r="B75" s="131"/>
    </row>
    <row r="76" spans="1:2" x14ac:dyDescent="0.3">
      <c r="A76" s="131"/>
      <c r="B76" s="131"/>
    </row>
    <row r="77" spans="1:2" x14ac:dyDescent="0.3">
      <c r="A77" s="131"/>
      <c r="B77" s="131"/>
    </row>
    <row r="78" spans="1:2" x14ac:dyDescent="0.3">
      <c r="A78" s="131"/>
      <c r="B78" s="131"/>
    </row>
    <row r="79" spans="1:2" x14ac:dyDescent="0.3">
      <c r="A79" s="131"/>
      <c r="B79" s="131"/>
    </row>
    <row r="80" spans="1:2" x14ac:dyDescent="0.3">
      <c r="A80" s="131"/>
      <c r="B80" s="131"/>
    </row>
  </sheetData>
  <hyperlinks>
    <hyperlink ref="D14" r:id="rId1" display="info@ghgplatform-india.org" xr:uid="{00000000-0004-0000-0000-000000000000}"/>
  </hyperlinks>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4:AH20"/>
  <sheetViews>
    <sheetView topLeftCell="B1" workbookViewId="0">
      <selection activeCell="F14" sqref="F14"/>
    </sheetView>
  </sheetViews>
  <sheetFormatPr defaultRowHeight="15" x14ac:dyDescent="0.25"/>
  <cols>
    <col min="1" max="2" width="9.140625" style="166"/>
    <col min="3" max="3" width="45.7109375" style="166" customWidth="1"/>
    <col min="4" max="4" width="10.85546875" style="166" customWidth="1"/>
    <col min="5" max="5" width="9.140625" style="166"/>
    <col min="6" max="6" width="24.28515625" style="166" customWidth="1"/>
    <col min="7" max="7" width="77.28515625" style="166" customWidth="1"/>
    <col min="8" max="34" width="9.140625" style="166"/>
  </cols>
  <sheetData>
    <row r="4" spans="3:7" ht="15.75" thickBot="1" x14ac:dyDescent="0.3"/>
    <row r="5" spans="3:7" ht="15.75" x14ac:dyDescent="0.25">
      <c r="C5" s="167" t="s">
        <v>130</v>
      </c>
      <c r="D5" s="5"/>
      <c r="F5" s="201" t="s">
        <v>207</v>
      </c>
      <c r="G5" s="202" t="s">
        <v>208</v>
      </c>
    </row>
    <row r="6" spans="3:7" ht="15.75" x14ac:dyDescent="0.25">
      <c r="C6" s="167" t="s">
        <v>131</v>
      </c>
      <c r="D6" s="3"/>
      <c r="F6" s="203" t="s">
        <v>209</v>
      </c>
      <c r="G6" s="204" t="s">
        <v>212</v>
      </c>
    </row>
    <row r="7" spans="3:7" ht="15.75" x14ac:dyDescent="0.25">
      <c r="C7" s="167" t="s">
        <v>132</v>
      </c>
      <c r="D7" s="8" t="s">
        <v>139</v>
      </c>
      <c r="F7" s="205" t="s">
        <v>210</v>
      </c>
      <c r="G7" s="206" t="s">
        <v>211</v>
      </c>
    </row>
    <row r="8" spans="3:7" ht="15.75" x14ac:dyDescent="0.25">
      <c r="C8" s="167" t="s">
        <v>134</v>
      </c>
      <c r="D8" s="4"/>
      <c r="F8" s="207" t="s">
        <v>213</v>
      </c>
      <c r="G8" s="208" t="s">
        <v>218</v>
      </c>
    </row>
    <row r="9" spans="3:7" ht="15.75" x14ac:dyDescent="0.25">
      <c r="C9" s="167" t="s">
        <v>133</v>
      </c>
      <c r="D9" s="7"/>
      <c r="F9" s="209" t="s">
        <v>214</v>
      </c>
      <c r="G9" s="210" t="s">
        <v>216</v>
      </c>
    </row>
    <row r="10" spans="3:7" ht="15.75" x14ac:dyDescent="0.25">
      <c r="C10" s="167" t="s">
        <v>137</v>
      </c>
      <c r="D10" s="6"/>
      <c r="F10" s="203" t="s">
        <v>215</v>
      </c>
      <c r="G10" s="211" t="s">
        <v>217</v>
      </c>
    </row>
    <row r="11" spans="3:7" ht="16.5" thickBot="1" x14ac:dyDescent="0.3">
      <c r="C11" s="167" t="s">
        <v>135</v>
      </c>
      <c r="D11" s="1"/>
      <c r="F11" s="212" t="s">
        <v>139</v>
      </c>
      <c r="G11" s="213" t="s">
        <v>219</v>
      </c>
    </row>
    <row r="12" spans="3:7" ht="15.75" x14ac:dyDescent="0.25">
      <c r="C12" s="167" t="s">
        <v>138</v>
      </c>
      <c r="D12" s="2"/>
      <c r="F12" s="197"/>
      <c r="G12" s="198"/>
    </row>
    <row r="13" spans="3:7" ht="15.75" x14ac:dyDescent="0.25">
      <c r="F13" s="197"/>
      <c r="G13" s="198"/>
    </row>
    <row r="14" spans="3:7" ht="15.75" x14ac:dyDescent="0.25">
      <c r="F14" s="22"/>
      <c r="G14" s="198"/>
    </row>
    <row r="15" spans="3:7" ht="15.75" x14ac:dyDescent="0.25">
      <c r="F15" s="199"/>
      <c r="G15" s="198"/>
    </row>
    <row r="16" spans="3:7" ht="15.75" x14ac:dyDescent="0.25">
      <c r="F16" s="197"/>
      <c r="G16" s="198"/>
    </row>
    <row r="17" spans="6:7" ht="15.75" x14ac:dyDescent="0.25">
      <c r="F17" s="197"/>
      <c r="G17" s="198"/>
    </row>
    <row r="18" spans="6:7" ht="15.75" x14ac:dyDescent="0.25">
      <c r="F18" s="22"/>
      <c r="G18" s="198"/>
    </row>
    <row r="19" spans="6:7" ht="15.75" x14ac:dyDescent="0.25">
      <c r="F19" s="199"/>
      <c r="G19" s="199"/>
    </row>
    <row r="20" spans="6:7" x14ac:dyDescent="0.25">
      <c r="F20" s="200"/>
      <c r="G20" s="200"/>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86"/>
  <sheetViews>
    <sheetView topLeftCell="D1" workbookViewId="0">
      <selection activeCell="G12" sqref="G12"/>
    </sheetView>
  </sheetViews>
  <sheetFormatPr defaultColWidth="15.85546875" defaultRowHeight="15.75" x14ac:dyDescent="0.25"/>
  <cols>
    <col min="1" max="16384" width="15.85546875" style="32"/>
  </cols>
  <sheetData>
    <row r="1" spans="1:14" x14ac:dyDescent="0.25">
      <c r="A1" s="123" t="s">
        <v>148</v>
      </c>
      <c r="B1" s="123" t="s">
        <v>149</v>
      </c>
      <c r="C1" s="123" t="s">
        <v>150</v>
      </c>
      <c r="D1" s="158" t="s">
        <v>151</v>
      </c>
      <c r="E1" s="158" t="s">
        <v>152</v>
      </c>
      <c r="F1" s="158" t="s">
        <v>153</v>
      </c>
      <c r="G1" s="159" t="s">
        <v>154</v>
      </c>
      <c r="H1" s="159" t="s">
        <v>155</v>
      </c>
      <c r="I1" s="160">
        <v>2007</v>
      </c>
      <c r="J1" s="160">
        <v>2008</v>
      </c>
      <c r="K1" s="160">
        <v>2009</v>
      </c>
      <c r="L1" s="160">
        <v>2010</v>
      </c>
      <c r="M1" s="160">
        <v>2011</v>
      </c>
      <c r="N1" s="160">
        <v>2012</v>
      </c>
    </row>
    <row r="2" spans="1:14" x14ac:dyDescent="0.25">
      <c r="A2" s="124" t="s">
        <v>156</v>
      </c>
      <c r="B2" s="124" t="s">
        <v>157</v>
      </c>
      <c r="C2" s="125" t="s">
        <v>158</v>
      </c>
      <c r="D2" s="125" t="s">
        <v>159</v>
      </c>
      <c r="E2" s="161" t="s">
        <v>160</v>
      </c>
      <c r="F2" s="161" t="s">
        <v>161</v>
      </c>
      <c r="G2" s="125" t="s">
        <v>162</v>
      </c>
      <c r="H2" s="125" t="s">
        <v>163</v>
      </c>
      <c r="I2" s="162">
        <f>Calculation!C39*1000</f>
        <v>30915474.697799996</v>
      </c>
      <c r="J2" s="162">
        <f>Calculation!D39*1000</f>
        <v>33851214.035099998</v>
      </c>
      <c r="K2" s="162">
        <f>Calculation!E39*1000</f>
        <v>38153835.719999999</v>
      </c>
      <c r="L2" s="162">
        <f>Calculation!F39*1000</f>
        <v>42519361.5</v>
      </c>
      <c r="M2" s="162">
        <f>Calculation!G39*1000</f>
        <v>45412827.074999996</v>
      </c>
      <c r="N2" s="162">
        <f>Calculation!H39*1000</f>
        <v>47756764.439999998</v>
      </c>
    </row>
    <row r="3" spans="1:14" x14ac:dyDescent="0.25">
      <c r="A3" s="124" t="s">
        <v>156</v>
      </c>
      <c r="B3" s="124" t="s">
        <v>157</v>
      </c>
      <c r="C3" s="125" t="s">
        <v>158</v>
      </c>
      <c r="D3" s="125" t="s">
        <v>159</v>
      </c>
      <c r="E3" s="161" t="s">
        <v>51</v>
      </c>
      <c r="F3" s="161" t="s">
        <v>161</v>
      </c>
      <c r="G3" s="125" t="s">
        <v>162</v>
      </c>
      <c r="H3" s="125" t="s">
        <v>163</v>
      </c>
      <c r="I3" s="162">
        <f>Calculation!C40*1000</f>
        <v>7286142.3735375078</v>
      </c>
      <c r="J3" s="162">
        <f>Calculation!D40*1000</f>
        <v>7554629.6767499987</v>
      </c>
      <c r="K3" s="162">
        <f>Calculation!E40*1000</f>
        <v>7712678.1224999987</v>
      </c>
      <c r="L3" s="162">
        <f>Calculation!F40*1000</f>
        <v>7873745.5874999994</v>
      </c>
      <c r="M3" s="162">
        <f>Calculation!G40*1000</f>
        <v>8092070.8634999972</v>
      </c>
      <c r="N3" s="162">
        <f>Calculation!H40*1000</f>
        <v>7312478.8424999984</v>
      </c>
    </row>
    <row r="4" spans="1:14" x14ac:dyDescent="0.25">
      <c r="A4" s="124" t="s">
        <v>156</v>
      </c>
      <c r="B4" s="124" t="s">
        <v>157</v>
      </c>
      <c r="C4" s="125" t="s">
        <v>158</v>
      </c>
      <c r="D4" s="125" t="s">
        <v>159</v>
      </c>
      <c r="E4" s="161" t="s">
        <v>164</v>
      </c>
      <c r="F4" s="161" t="s">
        <v>161</v>
      </c>
      <c r="G4" s="125" t="s">
        <v>162</v>
      </c>
      <c r="H4" s="125" t="s">
        <v>163</v>
      </c>
      <c r="I4" s="162">
        <f>Calculation!C41*1000</f>
        <v>583395.77547159884</v>
      </c>
      <c r="J4" s="162">
        <f>Calculation!D41*1000</f>
        <v>555424.71984999988</v>
      </c>
      <c r="K4" s="162">
        <f>Calculation!E41*1000</f>
        <v>637755.73839999991</v>
      </c>
      <c r="L4" s="162">
        <f>Calculation!F41*1000</f>
        <v>666729.03412500001</v>
      </c>
      <c r="M4" s="162">
        <f>Calculation!G41*1000</f>
        <v>665221.79597500013</v>
      </c>
      <c r="N4" s="162">
        <f>Calculation!H41*1000</f>
        <v>645306.85229999991</v>
      </c>
    </row>
    <row r="5" spans="1:14" x14ac:dyDescent="0.25">
      <c r="A5" s="124" t="s">
        <v>156</v>
      </c>
      <c r="B5" s="124" t="s">
        <v>157</v>
      </c>
      <c r="C5" s="125" t="s">
        <v>158</v>
      </c>
      <c r="D5" s="125" t="s">
        <v>159</v>
      </c>
      <c r="E5" s="161" t="s">
        <v>106</v>
      </c>
      <c r="F5" s="161" t="s">
        <v>161</v>
      </c>
      <c r="G5" s="125" t="s">
        <v>162</v>
      </c>
      <c r="H5" s="125" t="s">
        <v>163</v>
      </c>
      <c r="I5" s="162">
        <f>Calculation!C42*1000</f>
        <v>0</v>
      </c>
      <c r="J5" s="162">
        <f>Calculation!D42*1000</f>
        <v>0</v>
      </c>
      <c r="K5" s="162">
        <f>Calculation!E42*1000</f>
        <v>0</v>
      </c>
      <c r="L5" s="162">
        <f>Calculation!F42*1000</f>
        <v>0</v>
      </c>
      <c r="M5" s="162">
        <f>Calculation!G42*1000</f>
        <v>23.897249999999996</v>
      </c>
      <c r="N5" s="162">
        <f>Calculation!H42*1000</f>
        <v>55.760249999999992</v>
      </c>
    </row>
    <row r="6" spans="1:14" x14ac:dyDescent="0.25">
      <c r="A6" s="124" t="s">
        <v>156</v>
      </c>
      <c r="B6" s="124" t="s">
        <v>157</v>
      </c>
      <c r="C6" s="125" t="s">
        <v>158</v>
      </c>
      <c r="D6" s="125" t="s">
        <v>159</v>
      </c>
      <c r="E6" s="161" t="s">
        <v>165</v>
      </c>
      <c r="F6" s="161" t="s">
        <v>161</v>
      </c>
      <c r="G6" s="125" t="s">
        <v>162</v>
      </c>
      <c r="H6" s="125" t="s">
        <v>163</v>
      </c>
      <c r="I6" s="162">
        <f>Calculation!C43*1000</f>
        <v>169667.21534751292</v>
      </c>
      <c r="J6" s="162">
        <f>Calculation!D43*1000</f>
        <v>120882.03516</v>
      </c>
      <c r="K6" s="162">
        <f>Calculation!E43*1000</f>
        <v>26588.759535000001</v>
      </c>
      <c r="L6" s="162">
        <f>Calculation!F43*1000</f>
        <v>381.06148500000006</v>
      </c>
      <c r="M6" s="162">
        <f>Calculation!G43*1000</f>
        <v>1633.1206500000001</v>
      </c>
      <c r="N6" s="162">
        <f>Calculation!H43*1000</f>
        <v>3670.6330800000005</v>
      </c>
    </row>
    <row r="7" spans="1:14" x14ac:dyDescent="0.25">
      <c r="A7" s="124" t="s">
        <v>156</v>
      </c>
      <c r="B7" s="124" t="s">
        <v>157</v>
      </c>
      <c r="C7" s="125" t="s">
        <v>158</v>
      </c>
      <c r="D7" s="125" t="s">
        <v>159</v>
      </c>
      <c r="E7" s="161" t="s">
        <v>59</v>
      </c>
      <c r="F7" s="161" t="s">
        <v>161</v>
      </c>
      <c r="G7" s="125" t="s">
        <v>162</v>
      </c>
      <c r="H7" s="125" t="s">
        <v>163</v>
      </c>
      <c r="I7" s="162">
        <f>Calculation!C44*1000</f>
        <v>1803981.597884733</v>
      </c>
      <c r="J7" s="162">
        <f>Calculation!D44*1000</f>
        <v>2045712.8270111794</v>
      </c>
      <c r="K7" s="162">
        <f>Calculation!E44*1000</f>
        <v>2767944.4689599997</v>
      </c>
      <c r="L7" s="162">
        <f>Calculation!F44*1000</f>
        <v>3231073.7553600003</v>
      </c>
      <c r="M7" s="162">
        <f>Calculation!G44*1000</f>
        <v>4099814.6587199988</v>
      </c>
      <c r="N7" s="162">
        <f>Calculation!H44*1000</f>
        <v>4055369.1868799981</v>
      </c>
    </row>
    <row r="8" spans="1:14" x14ac:dyDescent="0.25">
      <c r="A8" s="124" t="s">
        <v>156</v>
      </c>
      <c r="B8" s="124" t="s">
        <v>157</v>
      </c>
      <c r="C8" s="125" t="s">
        <v>158</v>
      </c>
      <c r="D8" s="125" t="s">
        <v>159</v>
      </c>
      <c r="E8" s="161" t="s">
        <v>166</v>
      </c>
      <c r="F8" s="161" t="s">
        <v>161</v>
      </c>
      <c r="G8" s="125" t="s">
        <v>162</v>
      </c>
      <c r="H8" s="125" t="s">
        <v>163</v>
      </c>
      <c r="I8" s="162">
        <f>Calculation!C45*1000</f>
        <v>96967450.331707716</v>
      </c>
      <c r="J8" s="162">
        <f>Calculation!D45*1000</f>
        <v>95736003.218733415</v>
      </c>
      <c r="K8" s="162">
        <f>Calculation!E45*1000</f>
        <v>100815406.30706441</v>
      </c>
      <c r="L8" s="162">
        <f>Calculation!F45*1000</f>
        <v>109202890.1227847</v>
      </c>
      <c r="M8" s="162">
        <f>Calculation!G45*1000</f>
        <v>125400532.82648914</v>
      </c>
      <c r="N8" s="162">
        <f>Calculation!H45*1000</f>
        <v>138655617.0792</v>
      </c>
    </row>
    <row r="9" spans="1:14" x14ac:dyDescent="0.25">
      <c r="A9" s="124" t="s">
        <v>156</v>
      </c>
      <c r="B9" s="124" t="s">
        <v>157</v>
      </c>
      <c r="C9" s="125" t="s">
        <v>158</v>
      </c>
      <c r="D9" s="161" t="s">
        <v>32</v>
      </c>
      <c r="E9" s="161" t="s">
        <v>35</v>
      </c>
      <c r="F9" s="161" t="s">
        <v>161</v>
      </c>
      <c r="G9" s="125" t="s">
        <v>162</v>
      </c>
      <c r="H9" s="125" t="s">
        <v>163</v>
      </c>
      <c r="I9" s="163">
        <f>Calculation!C49*1000</f>
        <v>6324171.0219716374</v>
      </c>
      <c r="J9" s="163">
        <f>Calculation!D49*1000</f>
        <v>6798186.1252499996</v>
      </c>
      <c r="K9" s="163">
        <f>Calculation!E49*1000</f>
        <v>7127920.3807499986</v>
      </c>
      <c r="L9" s="163">
        <f>Calculation!F49*1000</f>
        <v>7466552.3789999988</v>
      </c>
      <c r="M9" s="163">
        <f>Calculation!G49*1000</f>
        <v>7693847.0895000007</v>
      </c>
      <c r="N9" s="163">
        <f>Calculation!H49*1000</f>
        <v>8000950.6492500007</v>
      </c>
    </row>
    <row r="10" spans="1:14" x14ac:dyDescent="0.25">
      <c r="A10" s="124" t="s">
        <v>156</v>
      </c>
      <c r="B10" s="124" t="s">
        <v>157</v>
      </c>
      <c r="C10" s="125" t="s">
        <v>158</v>
      </c>
      <c r="D10" s="161" t="s">
        <v>32</v>
      </c>
      <c r="E10" s="161" t="s">
        <v>106</v>
      </c>
      <c r="F10" s="161" t="s">
        <v>161</v>
      </c>
      <c r="G10" s="125" t="s">
        <v>162</v>
      </c>
      <c r="H10" s="125" t="s">
        <v>163</v>
      </c>
      <c r="I10" s="163">
        <f>Calculation!C50*1000</f>
        <v>7636.5507514992505</v>
      </c>
      <c r="J10" s="163">
        <f>Calculation!D50*1000</f>
        <v>6962.0654999999997</v>
      </c>
      <c r="K10" s="163">
        <f>Calculation!E50*1000</f>
        <v>5950.41525</v>
      </c>
      <c r="L10" s="163">
        <f>Calculation!F50*1000</f>
        <v>4094.3954999999992</v>
      </c>
      <c r="M10" s="163">
        <f>Calculation!G50*1000</f>
        <v>2875.6357499999995</v>
      </c>
      <c r="N10" s="163">
        <f>Calculation!H50*1000</f>
        <v>2811.9097499999998</v>
      </c>
    </row>
    <row r="11" spans="1:14" x14ac:dyDescent="0.25">
      <c r="A11" s="124" t="s">
        <v>156</v>
      </c>
      <c r="B11" s="124" t="s">
        <v>157</v>
      </c>
      <c r="C11" s="125" t="s">
        <v>158</v>
      </c>
      <c r="D11" s="161" t="s">
        <v>32</v>
      </c>
      <c r="E11" s="161" t="s">
        <v>167</v>
      </c>
      <c r="F11" s="161" t="s">
        <v>161</v>
      </c>
      <c r="G11" s="125" t="s">
        <v>162</v>
      </c>
      <c r="H11" s="125" t="s">
        <v>163</v>
      </c>
      <c r="I11" s="163">
        <f>Calculation!C51*1000</f>
        <v>2729.6766000164407</v>
      </c>
      <c r="J11" s="163">
        <f>Calculation!D51*1000</f>
        <v>2469.7813249999995</v>
      </c>
      <c r="K11" s="163">
        <f>Calculation!E51*1000</f>
        <v>2290.7035249999999</v>
      </c>
      <c r="L11" s="163">
        <f>Calculation!F51*1000</f>
        <v>2648.8591249999995</v>
      </c>
      <c r="M11" s="163">
        <f>Calculation!G51*1000</f>
        <v>2574.243375</v>
      </c>
      <c r="N11" s="163">
        <f>Calculation!H51*1000</f>
        <v>2372.7808499999996</v>
      </c>
    </row>
    <row r="12" spans="1:14" x14ac:dyDescent="0.25">
      <c r="A12" s="124" t="s">
        <v>156</v>
      </c>
      <c r="B12" s="124" t="s">
        <v>157</v>
      </c>
      <c r="C12" s="125" t="s">
        <v>158</v>
      </c>
      <c r="D12" s="161" t="s">
        <v>32</v>
      </c>
      <c r="E12" s="161" t="s">
        <v>168</v>
      </c>
      <c r="F12" s="161" t="s">
        <v>161</v>
      </c>
      <c r="G12" s="125" t="s">
        <v>162</v>
      </c>
      <c r="H12" s="125" t="s">
        <v>163</v>
      </c>
      <c r="I12" s="163">
        <f>Calculation!C52*1000</f>
        <v>0</v>
      </c>
      <c r="J12" s="163">
        <f>Calculation!D52*1000</f>
        <v>9215.4665249999998</v>
      </c>
      <c r="K12" s="163">
        <f>Calculation!E52*1000</f>
        <v>10350.874215</v>
      </c>
      <c r="L12" s="163">
        <f>Calculation!F52*1000</f>
        <v>11501.835435000003</v>
      </c>
      <c r="M12" s="163">
        <f>Calculation!G52*1000</f>
        <v>10910.801295000001</v>
      </c>
      <c r="N12" s="163">
        <f>Calculation!H52*1000</f>
        <v>8694.4232700000011</v>
      </c>
    </row>
    <row r="13" spans="1:14" x14ac:dyDescent="0.25">
      <c r="A13" s="124" t="s">
        <v>156</v>
      </c>
      <c r="B13" s="124" t="s">
        <v>157</v>
      </c>
      <c r="C13" s="125" t="s">
        <v>158</v>
      </c>
      <c r="D13" s="161" t="s">
        <v>32</v>
      </c>
      <c r="E13" s="161" t="s">
        <v>169</v>
      </c>
      <c r="F13" s="161" t="s">
        <v>161</v>
      </c>
      <c r="G13" s="125" t="s">
        <v>162</v>
      </c>
      <c r="H13" s="125" t="s">
        <v>163</v>
      </c>
      <c r="I13" s="163">
        <f>Calculation!C53*1000</f>
        <v>5530.3598999999995</v>
      </c>
      <c r="J13" s="163">
        <f>Calculation!D53*1000</f>
        <v>4147.7699249999996</v>
      </c>
      <c r="K13" s="163">
        <f>Calculation!E53*1000</f>
        <v>3686.9065999999998</v>
      </c>
      <c r="L13" s="163">
        <f>Calculation!F53*1000</f>
        <v>2304.3166249999999</v>
      </c>
      <c r="M13" s="163">
        <f>Calculation!G53*1000</f>
        <v>1843.4532999999999</v>
      </c>
      <c r="N13" s="163">
        <f>Calculation!H53*1000</f>
        <v>1843.4532999999999</v>
      </c>
    </row>
    <row r="14" spans="1:14" x14ac:dyDescent="0.25">
      <c r="A14" s="124" t="s">
        <v>156</v>
      </c>
      <c r="B14" s="124" t="s">
        <v>157</v>
      </c>
      <c r="C14" s="125" t="s">
        <v>158</v>
      </c>
      <c r="D14" s="161" t="s">
        <v>38</v>
      </c>
      <c r="E14" s="161" t="s">
        <v>170</v>
      </c>
      <c r="F14" s="161" t="s">
        <v>161</v>
      </c>
      <c r="G14" s="125" t="s">
        <v>162</v>
      </c>
      <c r="H14" s="125" t="s">
        <v>163</v>
      </c>
      <c r="I14" s="163">
        <f>Calculation!C57*1000</f>
        <v>13591343.272500001</v>
      </c>
      <c r="J14" s="163">
        <f>Calculation!D57*1000</f>
        <v>13901293.507499998</v>
      </c>
      <c r="K14" s="163">
        <f>Calculation!E57*1000</f>
        <v>14092154.999999998</v>
      </c>
      <c r="L14" s="163">
        <f>Calculation!F57*1000</f>
        <v>14701837.500000002</v>
      </c>
      <c r="M14" s="163">
        <f>Calculation!G57*1000</f>
        <v>16036965</v>
      </c>
      <c r="N14" s="163">
        <f>Calculation!H57*1000</f>
        <v>16006095.000000002</v>
      </c>
    </row>
    <row r="15" spans="1:14" x14ac:dyDescent="0.25">
      <c r="A15" s="124" t="s">
        <v>156</v>
      </c>
      <c r="B15" s="124" t="s">
        <v>157</v>
      </c>
      <c r="C15" s="125" t="s">
        <v>158</v>
      </c>
      <c r="D15" s="161" t="s">
        <v>38</v>
      </c>
      <c r="E15" s="161" t="s">
        <v>35</v>
      </c>
      <c r="F15" s="161" t="s">
        <v>161</v>
      </c>
      <c r="G15" s="125" t="s">
        <v>162</v>
      </c>
      <c r="H15" s="125" t="s">
        <v>163</v>
      </c>
      <c r="I15" s="163">
        <f>Calculation!C58*1000</f>
        <v>8853.6406121640885</v>
      </c>
      <c r="J15" s="163">
        <f>Calculation!D58*1000</f>
        <v>6452.2574999999988</v>
      </c>
      <c r="K15" s="163">
        <f>Calculation!E58*1000</f>
        <v>5480.4359999999988</v>
      </c>
      <c r="L15" s="163">
        <f>Calculation!F58*1000</f>
        <v>3775.7654999999995</v>
      </c>
      <c r="M15" s="163">
        <f>Calculation!G58*1000</f>
        <v>4078.4639999999995</v>
      </c>
      <c r="N15" s="163">
        <f>Calculation!H58*1000</f>
        <v>4341.3337500000007</v>
      </c>
    </row>
    <row r="16" spans="1:14" x14ac:dyDescent="0.25">
      <c r="A16" s="124" t="s">
        <v>156</v>
      </c>
      <c r="B16" s="124" t="s">
        <v>157</v>
      </c>
      <c r="C16" s="125" t="s">
        <v>158</v>
      </c>
      <c r="D16" s="161" t="s">
        <v>100</v>
      </c>
      <c r="E16" s="161" t="s">
        <v>51</v>
      </c>
      <c r="F16" s="161" t="s">
        <v>161</v>
      </c>
      <c r="G16" s="125" t="s">
        <v>162</v>
      </c>
      <c r="H16" s="125" t="s">
        <v>163</v>
      </c>
      <c r="I16" s="163">
        <f>Calculation!C62*1000</f>
        <v>1919842.0695850553</v>
      </c>
      <c r="J16" s="163">
        <f>Calculation!D62*1000</f>
        <v>2273130.3172500003</v>
      </c>
      <c r="K16" s="163">
        <f>Calculation!E62*1000</f>
        <v>2189736.8804999995</v>
      </c>
      <c r="L16" s="163">
        <f>Calculation!F62*1000</f>
        <v>1873488.6397499999</v>
      </c>
      <c r="M16" s="163">
        <f>Calculation!G62*1000</f>
        <v>1737003.4792499999</v>
      </c>
      <c r="N16" s="163">
        <f>Calculation!H62*1000</f>
        <v>1417122.8565</v>
      </c>
    </row>
    <row r="17" spans="1:14" x14ac:dyDescent="0.25">
      <c r="A17" s="124" t="s">
        <v>156</v>
      </c>
      <c r="B17" s="124" t="s">
        <v>157</v>
      </c>
      <c r="C17" s="125" t="s">
        <v>158</v>
      </c>
      <c r="D17" s="161" t="s">
        <v>100</v>
      </c>
      <c r="E17" s="161" t="s">
        <v>106</v>
      </c>
      <c r="F17" s="161" t="s">
        <v>161</v>
      </c>
      <c r="G17" s="125" t="s">
        <v>162</v>
      </c>
      <c r="H17" s="125" t="s">
        <v>163</v>
      </c>
      <c r="I17" s="163">
        <f>Calculation!C63*1000</f>
        <v>107854.09337968515</v>
      </c>
      <c r="J17" s="163">
        <f>Calculation!D63*1000</f>
        <v>57433.057499999995</v>
      </c>
      <c r="K17" s="163">
        <f>Calculation!E63*1000</f>
        <v>21061.442999999999</v>
      </c>
      <c r="L17" s="163">
        <f>Calculation!F63*1000</f>
        <v>12633.6795</v>
      </c>
      <c r="M17" s="163">
        <f>Calculation!G63*1000</f>
        <v>7081.5517499999987</v>
      </c>
      <c r="N17" s="163">
        <f>Calculation!H63*1000</f>
        <v>6492.0862500000003</v>
      </c>
    </row>
    <row r="18" spans="1:14" x14ac:dyDescent="0.25">
      <c r="A18" s="124" t="s">
        <v>156</v>
      </c>
      <c r="B18" s="124" t="s">
        <v>157</v>
      </c>
      <c r="C18" s="125" t="s">
        <v>158</v>
      </c>
      <c r="D18" s="161" t="s">
        <v>100</v>
      </c>
      <c r="E18" s="161" t="s">
        <v>165</v>
      </c>
      <c r="F18" s="161" t="s">
        <v>161</v>
      </c>
      <c r="G18" s="125" t="s">
        <v>162</v>
      </c>
      <c r="H18" s="125" t="s">
        <v>163</v>
      </c>
      <c r="I18" s="163">
        <f>Calculation!C64*1000</f>
        <v>804782.4870913846</v>
      </c>
      <c r="J18" s="163">
        <f>Calculation!D64*1000</f>
        <v>1208003.7912750002</v>
      </c>
      <c r="K18" s="163">
        <f>Calculation!E64*1000</f>
        <v>1633789.4517900001</v>
      </c>
      <c r="L18" s="163">
        <f>Calculation!F64*1000</f>
        <v>2243635.586325</v>
      </c>
      <c r="M18" s="163">
        <f>Calculation!G64*1000</f>
        <v>1459628.7996149999</v>
      </c>
      <c r="N18" s="163">
        <f>Calculation!H64*1000</f>
        <v>921562.20603</v>
      </c>
    </row>
    <row r="19" spans="1:14" x14ac:dyDescent="0.25">
      <c r="A19" s="124" t="s">
        <v>156</v>
      </c>
      <c r="B19" s="124" t="s">
        <v>157</v>
      </c>
      <c r="C19" s="125" t="s">
        <v>158</v>
      </c>
      <c r="D19" s="125" t="s">
        <v>159</v>
      </c>
      <c r="E19" s="161" t="s">
        <v>160</v>
      </c>
      <c r="F19" s="161" t="s">
        <v>161</v>
      </c>
      <c r="G19" s="125" t="s">
        <v>162</v>
      </c>
      <c r="H19" s="125" t="s">
        <v>171</v>
      </c>
      <c r="I19" s="163">
        <f>Calculation!L39*1000</f>
        <v>14721.654617999999</v>
      </c>
      <c r="J19" s="163">
        <f>Calculation!M39*1000</f>
        <v>16119.625731</v>
      </c>
      <c r="K19" s="163">
        <f>Calculation!N39*1000</f>
        <v>18168.493199999997</v>
      </c>
      <c r="L19" s="163">
        <f>Calculation!O39*1000</f>
        <v>20247.314999999995</v>
      </c>
      <c r="M19" s="163">
        <f>Calculation!P39*1000</f>
        <v>21625.155750000002</v>
      </c>
      <c r="N19" s="163">
        <f>Calculation!Q39*1000</f>
        <v>22741.316400000003</v>
      </c>
    </row>
    <row r="20" spans="1:14" x14ac:dyDescent="0.25">
      <c r="A20" s="124" t="s">
        <v>156</v>
      </c>
      <c r="B20" s="124" t="s">
        <v>157</v>
      </c>
      <c r="C20" s="125" t="s">
        <v>158</v>
      </c>
      <c r="D20" s="125" t="s">
        <v>159</v>
      </c>
      <c r="E20" s="161" t="s">
        <v>51</v>
      </c>
      <c r="F20" s="161" t="s">
        <v>161</v>
      </c>
      <c r="G20" s="125" t="s">
        <v>162</v>
      </c>
      <c r="H20" s="125" t="s">
        <v>171</v>
      </c>
      <c r="I20" s="163">
        <f>Calculation!L40*1000</f>
        <v>383.48117755460578</v>
      </c>
      <c r="J20" s="163">
        <f>Calculation!M40*1000</f>
        <v>397.61208825</v>
      </c>
      <c r="K20" s="163">
        <f>Calculation!N40*1000</f>
        <v>405.93042749999995</v>
      </c>
      <c r="L20" s="163">
        <f>Calculation!O40*1000</f>
        <v>414.40766249999996</v>
      </c>
      <c r="M20" s="163">
        <f>Calculation!P40*1000</f>
        <v>425.89846649999998</v>
      </c>
      <c r="N20" s="163">
        <f>Calculation!Q40*1000</f>
        <v>384.86730749999998</v>
      </c>
    </row>
    <row r="21" spans="1:14" x14ac:dyDescent="0.25">
      <c r="A21" s="124" t="s">
        <v>156</v>
      </c>
      <c r="B21" s="124" t="s">
        <v>157</v>
      </c>
      <c r="C21" s="125" t="s">
        <v>158</v>
      </c>
      <c r="D21" s="125" t="s">
        <v>159</v>
      </c>
      <c r="E21" s="161" t="s">
        <v>164</v>
      </c>
      <c r="F21" s="161" t="s">
        <v>161</v>
      </c>
      <c r="G21" s="125" t="s">
        <v>162</v>
      </c>
      <c r="H21" s="125" t="s">
        <v>171</v>
      </c>
      <c r="I21" s="163">
        <f>Calculation!L41*1000</f>
        <v>573.22564309412246</v>
      </c>
      <c r="J21" s="163">
        <f>Calculation!M41*1000</f>
        <v>545.74219699999981</v>
      </c>
      <c r="K21" s="163">
        <f>Calculation!N41*1000</f>
        <v>626.637968</v>
      </c>
      <c r="L21" s="163">
        <f>Calculation!O41*1000</f>
        <v>655.10618249999993</v>
      </c>
      <c r="M21" s="163">
        <f>Calculation!P41*1000</f>
        <v>653.62521949999996</v>
      </c>
      <c r="N21" s="163">
        <f>Calculation!Q41*1000</f>
        <v>634.05744599999991</v>
      </c>
    </row>
    <row r="22" spans="1:14" x14ac:dyDescent="0.25">
      <c r="A22" s="124" t="s">
        <v>156</v>
      </c>
      <c r="B22" s="124" t="s">
        <v>157</v>
      </c>
      <c r="C22" s="125" t="s">
        <v>158</v>
      </c>
      <c r="D22" s="125" t="s">
        <v>159</v>
      </c>
      <c r="E22" s="161" t="s">
        <v>106</v>
      </c>
      <c r="F22" s="161" t="s">
        <v>161</v>
      </c>
      <c r="G22" s="125" t="s">
        <v>162</v>
      </c>
      <c r="H22" s="125" t="s">
        <v>171</v>
      </c>
      <c r="I22" s="163">
        <f>Calculation!L42*1000</f>
        <v>0</v>
      </c>
      <c r="J22" s="163">
        <f>Calculation!M42*1000</f>
        <v>0</v>
      </c>
      <c r="K22" s="163">
        <f>Calculation!N42*1000</f>
        <v>0</v>
      </c>
      <c r="L22" s="163">
        <f>Calculation!O42*1000</f>
        <v>0</v>
      </c>
      <c r="M22" s="163">
        <f>Calculation!P42*1000</f>
        <v>3.2249999999999996E-3</v>
      </c>
      <c r="N22" s="163">
        <f>Calculation!Q42*1000</f>
        <v>7.5249999999999987E-3</v>
      </c>
    </row>
    <row r="23" spans="1:14" x14ac:dyDescent="0.25">
      <c r="A23" s="124" t="s">
        <v>156</v>
      </c>
      <c r="B23" s="124" t="s">
        <v>157</v>
      </c>
      <c r="C23" s="125" t="s">
        <v>158</v>
      </c>
      <c r="D23" s="125" t="s">
        <v>159</v>
      </c>
      <c r="E23" s="161" t="s">
        <v>165</v>
      </c>
      <c r="F23" s="161" t="s">
        <v>161</v>
      </c>
      <c r="G23" s="125" t="s">
        <v>162</v>
      </c>
      <c r="H23" s="125" t="s">
        <v>171</v>
      </c>
      <c r="I23" s="163">
        <f>Calculation!L43*1000</f>
        <v>6.5762486568803462</v>
      </c>
      <c r="J23" s="163">
        <f>Calculation!M43*1000</f>
        <v>4.6853501999999994</v>
      </c>
      <c r="K23" s="163">
        <f>Calculation!N43*1000</f>
        <v>1.0305720749999998</v>
      </c>
      <c r="L23" s="163">
        <f>Calculation!O43*1000</f>
        <v>1.4769824999999997E-2</v>
      </c>
      <c r="M23" s="163">
        <f>Calculation!P43*1000</f>
        <v>6.3299250000000001E-2</v>
      </c>
      <c r="N23" s="163">
        <f>Calculation!Q43*1000</f>
        <v>0.1422726</v>
      </c>
    </row>
    <row r="24" spans="1:14" x14ac:dyDescent="0.25">
      <c r="A24" s="124" t="s">
        <v>156</v>
      </c>
      <c r="B24" s="124" t="s">
        <v>157</v>
      </c>
      <c r="C24" s="125" t="s">
        <v>158</v>
      </c>
      <c r="D24" s="125" t="s">
        <v>159</v>
      </c>
      <c r="E24" s="161" t="s">
        <v>59</v>
      </c>
      <c r="F24" s="161" t="s">
        <v>161</v>
      </c>
      <c r="G24" s="125" t="s">
        <v>162</v>
      </c>
      <c r="H24" s="125" t="s">
        <v>171</v>
      </c>
      <c r="I24" s="163">
        <f>Calculation!L44*1000</f>
        <v>2958.401194392075</v>
      </c>
      <c r="J24" s="163">
        <f>Calculation!M44*1000</f>
        <v>3354.8231744211857</v>
      </c>
      <c r="K24" s="163">
        <f>Calculation!N44*1000</f>
        <v>4539.2315711999991</v>
      </c>
      <c r="L24" s="163">
        <f>Calculation!O44*1000</f>
        <v>5298.7305791999997</v>
      </c>
      <c r="M24" s="163">
        <f>Calculation!P44*1000</f>
        <v>6723.403718399999</v>
      </c>
      <c r="N24" s="163">
        <f>Calculation!Q44*1000</f>
        <v>6650.5163135999956</v>
      </c>
    </row>
    <row r="25" spans="1:14" x14ac:dyDescent="0.25">
      <c r="A25" s="124" t="s">
        <v>156</v>
      </c>
      <c r="B25" s="124" t="s">
        <v>157</v>
      </c>
      <c r="C25" s="125" t="s">
        <v>158</v>
      </c>
      <c r="D25" s="125" t="s">
        <v>159</v>
      </c>
      <c r="E25" s="161" t="s">
        <v>166</v>
      </c>
      <c r="F25" s="161" t="s">
        <v>161</v>
      </c>
      <c r="G25" s="125" t="s">
        <v>162</v>
      </c>
      <c r="H25" s="125" t="s">
        <v>171</v>
      </c>
      <c r="I25" s="163">
        <f>Calculation!L45*1000</f>
        <v>5103.5500174583012</v>
      </c>
      <c r="J25" s="163">
        <f>Calculation!M45*1000</f>
        <v>5038.7370115122858</v>
      </c>
      <c r="K25" s="163">
        <f>Calculation!N45*1000</f>
        <v>5306.0740161612848</v>
      </c>
      <c r="L25" s="163">
        <f>Calculation!O45*1000</f>
        <v>5747.5205327781423</v>
      </c>
      <c r="M25" s="163">
        <f>Calculation!P45*1000</f>
        <v>6600.0280434994274</v>
      </c>
      <c r="N25" s="163">
        <f>Calculation!Q45*1000</f>
        <v>7297.6640568000003</v>
      </c>
    </row>
    <row r="26" spans="1:14" x14ac:dyDescent="0.25">
      <c r="A26" s="124" t="s">
        <v>156</v>
      </c>
      <c r="B26" s="124" t="s">
        <v>157</v>
      </c>
      <c r="C26" s="125" t="s">
        <v>158</v>
      </c>
      <c r="D26" s="161" t="s">
        <v>32</v>
      </c>
      <c r="E26" s="161" t="s">
        <v>35</v>
      </c>
      <c r="F26" s="161" t="s">
        <v>161</v>
      </c>
      <c r="G26" s="125" t="s">
        <v>162</v>
      </c>
      <c r="H26" s="125" t="s">
        <v>171</v>
      </c>
      <c r="I26" s="163">
        <f>Calculation!L49*1000</f>
        <v>354.18771580542915</v>
      </c>
      <c r="J26" s="163">
        <f>Calculation!M49*1000</f>
        <v>380.73512037500001</v>
      </c>
      <c r="K26" s="163">
        <f>Calculation!N49*1000</f>
        <v>399.20201862500005</v>
      </c>
      <c r="L26" s="163">
        <f>Calculation!O49*1000</f>
        <v>418.16723850000011</v>
      </c>
      <c r="M26" s="163">
        <f>Calculation!P49*1000</f>
        <v>430.89696925000004</v>
      </c>
      <c r="N26" s="163">
        <f>Calculation!Q49*1000</f>
        <v>448.09642637500002</v>
      </c>
    </row>
    <row r="27" spans="1:14" x14ac:dyDescent="0.25">
      <c r="A27" s="124" t="s">
        <v>156</v>
      </c>
      <c r="B27" s="124" t="s">
        <v>157</v>
      </c>
      <c r="C27" s="125" t="s">
        <v>158</v>
      </c>
      <c r="D27" s="161" t="s">
        <v>32</v>
      </c>
      <c r="E27" s="161" t="s">
        <v>106</v>
      </c>
      <c r="F27" s="161" t="s">
        <v>161</v>
      </c>
      <c r="G27" s="125" t="s">
        <v>162</v>
      </c>
      <c r="H27" s="125" t="s">
        <v>171</v>
      </c>
      <c r="I27" s="163">
        <f>Calculation!L50*1000</f>
        <v>1.0305736506746626</v>
      </c>
      <c r="J27" s="163">
        <f>Calculation!M50*1000</f>
        <v>0.93954999999999989</v>
      </c>
      <c r="K27" s="163">
        <f>Calculation!N50*1000</f>
        <v>0.80302499999999999</v>
      </c>
      <c r="L27" s="163">
        <f>Calculation!O50*1000</f>
        <v>0.55254999999999999</v>
      </c>
      <c r="M27" s="163">
        <f>Calculation!P50*1000</f>
        <v>0.388075</v>
      </c>
      <c r="N27" s="163">
        <f>Calculation!Q50*1000</f>
        <v>0.37947500000000001</v>
      </c>
    </row>
    <row r="28" spans="1:14" x14ac:dyDescent="0.25">
      <c r="A28" s="124" t="s">
        <v>156</v>
      </c>
      <c r="B28" s="124" t="s">
        <v>157</v>
      </c>
      <c r="C28" s="125" t="s">
        <v>158</v>
      </c>
      <c r="D28" s="161" t="s">
        <v>32</v>
      </c>
      <c r="E28" s="161" t="s">
        <v>167</v>
      </c>
      <c r="F28" s="161" t="s">
        <v>161</v>
      </c>
      <c r="G28" s="125" t="s">
        <v>162</v>
      </c>
      <c r="H28" s="125" t="s">
        <v>171</v>
      </c>
      <c r="I28" s="163">
        <f>Calculation!L51*1000</f>
        <v>2.6820911125359639</v>
      </c>
      <c r="J28" s="163">
        <f>Calculation!M51*1000</f>
        <v>2.4267265</v>
      </c>
      <c r="K28" s="163">
        <f>Calculation!N51*1000</f>
        <v>2.2507704999999998</v>
      </c>
      <c r="L28" s="163">
        <f>Calculation!O51*1000</f>
        <v>2.6026824999999998</v>
      </c>
      <c r="M28" s="163">
        <f>Calculation!P51*1000</f>
        <v>2.5293674999999998</v>
      </c>
      <c r="N28" s="163">
        <f>Calculation!Q51*1000</f>
        <v>2.3314169999999996</v>
      </c>
    </row>
    <row r="29" spans="1:14" x14ac:dyDescent="0.25">
      <c r="A29" s="124" t="s">
        <v>156</v>
      </c>
      <c r="B29" s="124" t="s">
        <v>157</v>
      </c>
      <c r="C29" s="125" t="s">
        <v>158</v>
      </c>
      <c r="D29" s="161" t="s">
        <v>32</v>
      </c>
      <c r="E29" s="161" t="s">
        <v>168</v>
      </c>
      <c r="F29" s="161" t="s">
        <v>161</v>
      </c>
      <c r="G29" s="125" t="s">
        <v>162</v>
      </c>
      <c r="H29" s="125" t="s">
        <v>171</v>
      </c>
      <c r="I29" s="163">
        <f>Calculation!L52*1000</f>
        <v>0</v>
      </c>
      <c r="J29" s="163">
        <f>Calculation!M52*1000</f>
        <v>0.35718862499999998</v>
      </c>
      <c r="K29" s="163">
        <f>Calculation!N52*1000</f>
        <v>0.401196675</v>
      </c>
      <c r="L29" s="163">
        <f>Calculation!O52*1000</f>
        <v>0.4458075749999999</v>
      </c>
      <c r="M29" s="163">
        <f>Calculation!P52*1000</f>
        <v>0.42289927500000002</v>
      </c>
      <c r="N29" s="163">
        <f>Calculation!Q52*1000</f>
        <v>0.33699315000000002</v>
      </c>
    </row>
    <row r="30" spans="1:14" x14ac:dyDescent="0.25">
      <c r="A30" s="124" t="s">
        <v>156</v>
      </c>
      <c r="B30" s="124" t="s">
        <v>157</v>
      </c>
      <c r="C30" s="125" t="s">
        <v>158</v>
      </c>
      <c r="D30" s="161" t="s">
        <v>32</v>
      </c>
      <c r="E30" s="161" t="s">
        <v>169</v>
      </c>
      <c r="F30" s="161" t="s">
        <v>161</v>
      </c>
      <c r="G30" s="125" t="s">
        <v>162</v>
      </c>
      <c r="H30" s="125" t="s">
        <v>171</v>
      </c>
      <c r="I30" s="163">
        <f>Calculation!L53*1000</f>
        <v>0.11778</v>
      </c>
      <c r="J30" s="163">
        <f>Calculation!M53*1000</f>
        <v>8.8334999999999997E-2</v>
      </c>
      <c r="K30" s="163">
        <f>Calculation!N53*1000</f>
        <v>7.8520000000000006E-2</v>
      </c>
      <c r="L30" s="163">
        <f>Calculation!O53*1000</f>
        <v>4.9075000000000001E-2</v>
      </c>
      <c r="M30" s="163">
        <f>Calculation!P53*1000</f>
        <v>3.9260000000000003E-2</v>
      </c>
      <c r="N30" s="163">
        <f>Calculation!Q53*1000</f>
        <v>3.9260000000000003E-2</v>
      </c>
    </row>
    <row r="31" spans="1:14" x14ac:dyDescent="0.25">
      <c r="A31" s="124" t="s">
        <v>156</v>
      </c>
      <c r="B31" s="124" t="s">
        <v>157</v>
      </c>
      <c r="C31" s="125" t="s">
        <v>158</v>
      </c>
      <c r="D31" s="161" t="s">
        <v>38</v>
      </c>
      <c r="E31" s="161" t="s">
        <v>170</v>
      </c>
      <c r="F31" s="161" t="s">
        <v>161</v>
      </c>
      <c r="G31" s="125" t="s">
        <v>162</v>
      </c>
      <c r="H31" s="125" t="s">
        <v>171</v>
      </c>
      <c r="I31" s="163">
        <f>Calculation!L57*1000</f>
        <v>97.081023374999987</v>
      </c>
      <c r="J31" s="163">
        <f>Calculation!M57*1000</f>
        <v>99.294953624999991</v>
      </c>
      <c r="K31" s="163">
        <f>Calculation!N57*1000</f>
        <v>100.65825</v>
      </c>
      <c r="L31" s="163">
        <f>Calculation!O57*1000</f>
        <v>105.013125</v>
      </c>
      <c r="M31" s="163">
        <f>Calculation!P57*1000</f>
        <v>114.54974999999999</v>
      </c>
      <c r="N31" s="163">
        <f>Calculation!Q57*1000</f>
        <v>114.32924999999999</v>
      </c>
    </row>
    <row r="32" spans="1:14" x14ac:dyDescent="0.25">
      <c r="A32" s="124" t="s">
        <v>156</v>
      </c>
      <c r="B32" s="124" t="s">
        <v>157</v>
      </c>
      <c r="C32" s="125" t="s">
        <v>158</v>
      </c>
      <c r="D32" s="161" t="s">
        <v>38</v>
      </c>
      <c r="E32" s="161" t="s">
        <v>35</v>
      </c>
      <c r="F32" s="161" t="s">
        <v>161</v>
      </c>
      <c r="G32" s="125" t="s">
        <v>162</v>
      </c>
      <c r="H32" s="125" t="s">
        <v>171</v>
      </c>
      <c r="I32" s="163">
        <f>Calculation!L58*1000</f>
        <v>0.46598108485074158</v>
      </c>
      <c r="J32" s="163">
        <f>Calculation!M58*1000</f>
        <v>0.33959249999999996</v>
      </c>
      <c r="K32" s="163">
        <f>Calculation!N58*1000</f>
        <v>0.28844399999999998</v>
      </c>
      <c r="L32" s="163">
        <f>Calculation!O58*1000</f>
        <v>0.1987245</v>
      </c>
      <c r="M32" s="163">
        <f>Calculation!P58*1000</f>
        <v>0.21465599999999999</v>
      </c>
      <c r="N32" s="163">
        <f>Calculation!Q58*1000</f>
        <v>0.22849125000000003</v>
      </c>
    </row>
    <row r="33" spans="1:14" x14ac:dyDescent="0.25">
      <c r="A33" s="124" t="s">
        <v>156</v>
      </c>
      <c r="B33" s="124" t="s">
        <v>157</v>
      </c>
      <c r="C33" s="125" t="s">
        <v>158</v>
      </c>
      <c r="D33" s="161" t="s">
        <v>100</v>
      </c>
      <c r="E33" s="161" t="s">
        <v>51</v>
      </c>
      <c r="F33" s="161" t="s">
        <v>161</v>
      </c>
      <c r="G33" s="125" t="s">
        <v>162</v>
      </c>
      <c r="H33" s="125" t="s">
        <v>171</v>
      </c>
      <c r="I33" s="163">
        <f>Calculation!L62*1000</f>
        <v>101.04431945184501</v>
      </c>
      <c r="J33" s="163">
        <f>Calculation!M62*1000</f>
        <v>119.63843775000002</v>
      </c>
      <c r="K33" s="163">
        <f>Calculation!N62*1000</f>
        <v>115.24930949999998</v>
      </c>
      <c r="L33" s="163">
        <f>Calculation!O62*1000</f>
        <v>98.604665249999996</v>
      </c>
      <c r="M33" s="163">
        <f>Calculation!P62*1000</f>
        <v>91.421235749999994</v>
      </c>
      <c r="N33" s="163">
        <f>Calculation!Q62*1000</f>
        <v>74.585413500000001</v>
      </c>
    </row>
    <row r="34" spans="1:14" x14ac:dyDescent="0.25">
      <c r="A34" s="124" t="s">
        <v>156</v>
      </c>
      <c r="B34" s="124" t="s">
        <v>157</v>
      </c>
      <c r="C34" s="125" t="s">
        <v>158</v>
      </c>
      <c r="D34" s="161" t="s">
        <v>100</v>
      </c>
      <c r="E34" s="161" t="s">
        <v>106</v>
      </c>
      <c r="F34" s="161" t="s">
        <v>161</v>
      </c>
      <c r="G34" s="125" t="s">
        <v>162</v>
      </c>
      <c r="H34" s="125" t="s">
        <v>171</v>
      </c>
      <c r="I34" s="163">
        <f>Calculation!L63*1000</f>
        <v>14.55520828335832</v>
      </c>
      <c r="J34" s="163">
        <f>Calculation!M63*1000</f>
        <v>7.75075</v>
      </c>
      <c r="K34" s="163">
        <f>Calculation!N63*1000</f>
        <v>2.8423000000000003</v>
      </c>
      <c r="L34" s="163">
        <f>Calculation!O63*1000</f>
        <v>1.7049500000000002</v>
      </c>
      <c r="M34" s="163">
        <f>Calculation!P63*1000</f>
        <v>0.95567500000000005</v>
      </c>
      <c r="N34" s="163">
        <f>Calculation!Q63*1000</f>
        <v>0.87612499999999993</v>
      </c>
    </row>
    <row r="35" spans="1:14" x14ac:dyDescent="0.25">
      <c r="A35" s="124" t="s">
        <v>156</v>
      </c>
      <c r="B35" s="124" t="s">
        <v>157</v>
      </c>
      <c r="C35" s="125" t="s">
        <v>158</v>
      </c>
      <c r="D35" s="161" t="s">
        <v>100</v>
      </c>
      <c r="E35" s="161" t="s">
        <v>165</v>
      </c>
      <c r="F35" s="161" t="s">
        <v>161</v>
      </c>
      <c r="G35" s="125" t="s">
        <v>162</v>
      </c>
      <c r="H35" s="125" t="s">
        <v>171</v>
      </c>
      <c r="I35" s="163">
        <f>Calculation!L64*1000</f>
        <v>72.783945860977937</v>
      </c>
      <c r="J35" s="163">
        <f>Calculation!M64*1000</f>
        <v>109.250988875</v>
      </c>
      <c r="K35" s="163">
        <f>Calculation!N64*1000</f>
        <v>147.75873594999999</v>
      </c>
      <c r="L35" s="163">
        <f>Calculation!O64*1000</f>
        <v>202.91277912499999</v>
      </c>
      <c r="M35" s="163">
        <f>Calculation!P64*1000</f>
        <v>132.00777257499999</v>
      </c>
      <c r="N35" s="163">
        <f>Calculation!Q64*1000</f>
        <v>83.345419149999984</v>
      </c>
    </row>
    <row r="36" spans="1:14" x14ac:dyDescent="0.25">
      <c r="A36" s="124" t="s">
        <v>156</v>
      </c>
      <c r="B36" s="124" t="s">
        <v>157</v>
      </c>
      <c r="C36" s="125" t="s">
        <v>158</v>
      </c>
      <c r="D36" s="125" t="s">
        <v>159</v>
      </c>
      <c r="E36" s="161" t="s">
        <v>160</v>
      </c>
      <c r="F36" s="161" t="s">
        <v>161</v>
      </c>
      <c r="G36" s="125" t="s">
        <v>162</v>
      </c>
      <c r="H36" s="164" t="s">
        <v>172</v>
      </c>
      <c r="I36" s="163">
        <f>Calculation!U39*1000</f>
        <v>1427.5543871999998</v>
      </c>
      <c r="J36" s="163">
        <f>Calculation!V39*1000</f>
        <v>1563.1152224</v>
      </c>
      <c r="K36" s="163">
        <f>Calculation!W39*1000</f>
        <v>1761.7932799999999</v>
      </c>
      <c r="L36" s="163">
        <f>Calculation!X39*1000</f>
        <v>1963.3759999999997</v>
      </c>
      <c r="M36" s="163">
        <f>Calculation!Y39*1000</f>
        <v>2096.9847999999997</v>
      </c>
      <c r="N36" s="163">
        <f>Calculation!Z39*1000</f>
        <v>2205.2185600000003</v>
      </c>
    </row>
    <row r="37" spans="1:14" x14ac:dyDescent="0.25">
      <c r="A37" s="124" t="s">
        <v>156</v>
      </c>
      <c r="B37" s="124" t="s">
        <v>157</v>
      </c>
      <c r="C37" s="125" t="s">
        <v>158</v>
      </c>
      <c r="D37" s="125" t="s">
        <v>159</v>
      </c>
      <c r="E37" s="161" t="s">
        <v>51</v>
      </c>
      <c r="F37" s="161" t="s">
        <v>161</v>
      </c>
      <c r="G37" s="125" t="s">
        <v>162</v>
      </c>
      <c r="H37" s="164" t="s">
        <v>172</v>
      </c>
      <c r="I37" s="163">
        <f>Calculation!U40*1000</f>
        <v>383.48117755460578</v>
      </c>
      <c r="J37" s="163">
        <f>Calculation!V40*1000</f>
        <v>397.61208825</v>
      </c>
      <c r="K37" s="163">
        <f>Calculation!W40*1000</f>
        <v>405.93042749999995</v>
      </c>
      <c r="L37" s="163">
        <f>Calculation!X40*1000</f>
        <v>414.40766249999996</v>
      </c>
      <c r="M37" s="163">
        <f>Calculation!Y40*1000</f>
        <v>425.89846649999998</v>
      </c>
      <c r="N37" s="163">
        <f>Calculation!Z40*1000</f>
        <v>384.86730749999998</v>
      </c>
    </row>
    <row r="38" spans="1:14" x14ac:dyDescent="0.25">
      <c r="A38" s="124" t="s">
        <v>156</v>
      </c>
      <c r="B38" s="124" t="s">
        <v>157</v>
      </c>
      <c r="C38" s="125" t="s">
        <v>158</v>
      </c>
      <c r="D38" s="125" t="s">
        <v>159</v>
      </c>
      <c r="E38" s="161" t="s">
        <v>164</v>
      </c>
      <c r="F38" s="161" t="s">
        <v>161</v>
      </c>
      <c r="G38" s="125" t="s">
        <v>162</v>
      </c>
      <c r="H38" s="164" t="s">
        <v>172</v>
      </c>
      <c r="I38" s="163">
        <f>Calculation!U41*1000</f>
        <v>1.8491149777229758</v>
      </c>
      <c r="J38" s="163">
        <f>Calculation!V41*1000</f>
        <v>1.7604586999999998</v>
      </c>
      <c r="K38" s="163">
        <f>Calculation!W41*1000</f>
        <v>2.0214128000000002</v>
      </c>
      <c r="L38" s="163">
        <f>Calculation!X41*1000</f>
        <v>2.1132457500000004</v>
      </c>
      <c r="M38" s="163">
        <f>Calculation!Y41*1000</f>
        <v>2.1084684500000002</v>
      </c>
      <c r="N38" s="163">
        <f>Calculation!Z41*1000</f>
        <v>2.0453465999999998</v>
      </c>
    </row>
    <row r="39" spans="1:14" x14ac:dyDescent="0.25">
      <c r="A39" s="124" t="s">
        <v>156</v>
      </c>
      <c r="B39" s="124" t="s">
        <v>157</v>
      </c>
      <c r="C39" s="125" t="s">
        <v>158</v>
      </c>
      <c r="D39" s="125" t="s">
        <v>159</v>
      </c>
      <c r="E39" s="161" t="s">
        <v>106</v>
      </c>
      <c r="F39" s="161" t="s">
        <v>161</v>
      </c>
      <c r="G39" s="125" t="s">
        <v>162</v>
      </c>
      <c r="H39" s="164" t="s">
        <v>172</v>
      </c>
      <c r="I39" s="163">
        <f>Calculation!U42*1000</f>
        <v>0</v>
      </c>
      <c r="J39" s="163">
        <f>Calculation!V42*1000</f>
        <v>0</v>
      </c>
      <c r="K39" s="163">
        <f>Calculation!W42*1000</f>
        <v>0</v>
      </c>
      <c r="L39" s="163">
        <f>Calculation!X42*1000</f>
        <v>0</v>
      </c>
      <c r="M39" s="163">
        <f>Calculation!Y42*1000</f>
        <v>1.9350000000000001E-4</v>
      </c>
      <c r="N39" s="163">
        <f>Calculation!Z42*1000</f>
        <v>4.5150000000000002E-4</v>
      </c>
    </row>
    <row r="40" spans="1:14" x14ac:dyDescent="0.25">
      <c r="A40" s="124" t="s">
        <v>156</v>
      </c>
      <c r="B40" s="124" t="s">
        <v>157</v>
      </c>
      <c r="C40" s="125" t="s">
        <v>158</v>
      </c>
      <c r="D40" s="125" t="s">
        <v>159</v>
      </c>
      <c r="E40" s="161" t="s">
        <v>165</v>
      </c>
      <c r="F40" s="161" t="s">
        <v>161</v>
      </c>
      <c r="G40" s="125" t="s">
        <v>162</v>
      </c>
      <c r="H40" s="164" t="s">
        <v>172</v>
      </c>
      <c r="I40" s="163">
        <f>Calculation!U43*1000</f>
        <v>1.3152497313760692</v>
      </c>
      <c r="J40" s="163">
        <f>Calculation!V43*1000</f>
        <v>0.93707003999999994</v>
      </c>
      <c r="K40" s="163">
        <f>Calculation!W43*1000</f>
        <v>0.20611441500000002</v>
      </c>
      <c r="L40" s="163">
        <f>Calculation!X43*1000</f>
        <v>2.9539650000000002E-3</v>
      </c>
      <c r="M40" s="163">
        <f>Calculation!Y43*1000</f>
        <v>1.2659849999999999E-2</v>
      </c>
      <c r="N40" s="163">
        <f>Calculation!Z43*1000</f>
        <v>2.8454519999999997E-2</v>
      </c>
    </row>
    <row r="41" spans="1:14" x14ac:dyDescent="0.25">
      <c r="A41" s="124" t="s">
        <v>156</v>
      </c>
      <c r="B41" s="124" t="s">
        <v>157</v>
      </c>
      <c r="C41" s="125" t="s">
        <v>158</v>
      </c>
      <c r="D41" s="125" t="s">
        <v>159</v>
      </c>
      <c r="E41" s="161" t="s">
        <v>59</v>
      </c>
      <c r="F41" s="161" t="s">
        <v>161</v>
      </c>
      <c r="G41" s="125" t="s">
        <v>162</v>
      </c>
      <c r="H41" s="164" t="s">
        <v>172</v>
      </c>
      <c r="I41" s="163">
        <f>Calculation!U44*1000</f>
        <v>96.469604164958966</v>
      </c>
      <c r="J41" s="163">
        <f>Calculation!V44*1000</f>
        <v>109.39640786156039</v>
      </c>
      <c r="K41" s="163">
        <f>Calculation!W44*1000</f>
        <v>148.0184208</v>
      </c>
      <c r="L41" s="163">
        <f>Calculation!X44*1000</f>
        <v>172.78469279999999</v>
      </c>
      <c r="M41" s="163">
        <f>Calculation!Y44*1000</f>
        <v>219.24142559999996</v>
      </c>
      <c r="N41" s="163">
        <f>Calculation!Z44*1000</f>
        <v>216.86466239999984</v>
      </c>
    </row>
    <row r="42" spans="1:14" x14ac:dyDescent="0.25">
      <c r="A42" s="124" t="s">
        <v>156</v>
      </c>
      <c r="B42" s="124" t="s">
        <v>157</v>
      </c>
      <c r="C42" s="125" t="s">
        <v>158</v>
      </c>
      <c r="D42" s="125" t="s">
        <v>159</v>
      </c>
      <c r="E42" s="161" t="s">
        <v>166</v>
      </c>
      <c r="F42" s="161" t="s">
        <v>161</v>
      </c>
      <c r="G42" s="125" t="s">
        <v>162</v>
      </c>
      <c r="H42" s="164" t="s">
        <v>172</v>
      </c>
      <c r="I42" s="163">
        <f>Calculation!U45*1000</f>
        <v>5103.5500174583012</v>
      </c>
      <c r="J42" s="163">
        <f>Calculation!V45*1000</f>
        <v>5038.7370115122858</v>
      </c>
      <c r="K42" s="163">
        <f>Calculation!W45*1000</f>
        <v>5306.0740161612848</v>
      </c>
      <c r="L42" s="163">
        <f>Calculation!X45*1000</f>
        <v>5747.5205327781423</v>
      </c>
      <c r="M42" s="163">
        <f>Calculation!Y45*1000</f>
        <v>6600.0280434994274</v>
      </c>
      <c r="N42" s="163">
        <f>Calculation!Z45*1000</f>
        <v>7297.6640568000003</v>
      </c>
    </row>
    <row r="43" spans="1:14" x14ac:dyDescent="0.25">
      <c r="A43" s="124" t="s">
        <v>156</v>
      </c>
      <c r="B43" s="124" t="s">
        <v>157</v>
      </c>
      <c r="C43" s="125" t="s">
        <v>158</v>
      </c>
      <c r="D43" s="161" t="s">
        <v>32</v>
      </c>
      <c r="E43" s="161" t="s">
        <v>35</v>
      </c>
      <c r="F43" s="161" t="s">
        <v>161</v>
      </c>
      <c r="G43" s="125" t="s">
        <v>162</v>
      </c>
      <c r="H43" s="164" t="s">
        <v>172</v>
      </c>
      <c r="I43" s="163">
        <f>Calculation!U49*1000</f>
        <v>2440.9081137434396</v>
      </c>
      <c r="J43" s="163">
        <f>Calculation!V49*1000</f>
        <v>2623.8613114999998</v>
      </c>
      <c r="K43" s="163">
        <f>Calculation!W49*1000</f>
        <v>2751.1271645000002</v>
      </c>
      <c r="L43" s="163">
        <f>Calculation!X49*1000</f>
        <v>2881.8272340000003</v>
      </c>
      <c r="M43" s="163">
        <f>Calculation!Y49*1000</f>
        <v>2969.5550170000001</v>
      </c>
      <c r="N43" s="163">
        <f>Calculation!Z49*1000</f>
        <v>3088.0862155000004</v>
      </c>
    </row>
    <row r="44" spans="1:14" x14ac:dyDescent="0.25">
      <c r="A44" s="124" t="s">
        <v>156</v>
      </c>
      <c r="B44" s="124" t="s">
        <v>157</v>
      </c>
      <c r="C44" s="125" t="s">
        <v>158</v>
      </c>
      <c r="D44" s="161" t="s">
        <v>32</v>
      </c>
      <c r="E44" s="161" t="s">
        <v>106</v>
      </c>
      <c r="F44" s="161" t="s">
        <v>161</v>
      </c>
      <c r="G44" s="125" t="s">
        <v>162</v>
      </c>
      <c r="H44" s="164" t="s">
        <v>172</v>
      </c>
      <c r="I44" s="163">
        <f>Calculation!U50*1000</f>
        <v>6.1834419040479753E-2</v>
      </c>
      <c r="J44" s="163">
        <f>Calculation!V50*1000</f>
        <v>5.6372999999999999E-2</v>
      </c>
      <c r="K44" s="163">
        <f>Calculation!W50*1000</f>
        <v>4.8181500000000002E-2</v>
      </c>
      <c r="L44" s="163">
        <f>Calculation!X50*1000</f>
        <v>3.3153000000000002E-2</v>
      </c>
      <c r="M44" s="163">
        <f>Calculation!Y50*1000</f>
        <v>2.32845E-2</v>
      </c>
      <c r="N44" s="163">
        <f>Calculation!Z50*1000</f>
        <v>2.2768500000000001E-2</v>
      </c>
    </row>
    <row r="45" spans="1:14" x14ac:dyDescent="0.25">
      <c r="A45" s="124" t="s">
        <v>156</v>
      </c>
      <c r="B45" s="124" t="s">
        <v>157</v>
      </c>
      <c r="C45" s="125" t="s">
        <v>158</v>
      </c>
      <c r="D45" s="161" t="s">
        <v>32</v>
      </c>
      <c r="E45" s="161" t="s">
        <v>167</v>
      </c>
      <c r="F45" s="161" t="s">
        <v>161</v>
      </c>
      <c r="G45" s="125" t="s">
        <v>162</v>
      </c>
      <c r="H45" s="164" t="s">
        <v>172</v>
      </c>
      <c r="I45" s="163">
        <f>Calculation!U51*1000</f>
        <v>8.6519068146321421E-3</v>
      </c>
      <c r="J45" s="163">
        <f>Calculation!V51*1000</f>
        <v>7.8281500000000007E-3</v>
      </c>
      <c r="K45" s="163">
        <f>Calculation!W51*1000</f>
        <v>7.2605500000000002E-3</v>
      </c>
      <c r="L45" s="163">
        <f>Calculation!X51*1000</f>
        <v>8.3957500000000022E-3</v>
      </c>
      <c r="M45" s="163">
        <f>Calculation!Y51*1000</f>
        <v>8.1592499999999998E-3</v>
      </c>
      <c r="N45" s="163">
        <f>Calculation!Z51*1000</f>
        <v>7.5207000000000008E-3</v>
      </c>
    </row>
    <row r="46" spans="1:14" x14ac:dyDescent="0.25">
      <c r="A46" s="124" t="s">
        <v>156</v>
      </c>
      <c r="B46" s="124" t="s">
        <v>157</v>
      </c>
      <c r="C46" s="125" t="s">
        <v>158</v>
      </c>
      <c r="D46" s="161" t="s">
        <v>32</v>
      </c>
      <c r="E46" s="161" t="s">
        <v>168</v>
      </c>
      <c r="F46" s="161" t="s">
        <v>161</v>
      </c>
      <c r="G46" s="125" t="s">
        <v>162</v>
      </c>
      <c r="H46" s="164" t="s">
        <v>172</v>
      </c>
      <c r="I46" s="163">
        <f>Calculation!U52*1000</f>
        <v>0</v>
      </c>
      <c r="J46" s="163">
        <f>Calculation!V52*1000</f>
        <v>7.1437724999999994E-2</v>
      </c>
      <c r="K46" s="163">
        <f>Calculation!W52*1000</f>
        <v>8.0239334999999995E-2</v>
      </c>
      <c r="L46" s="163">
        <f>Calculation!X52*1000</f>
        <v>8.9161514999999997E-2</v>
      </c>
      <c r="M46" s="163">
        <f>Calculation!Y52*1000</f>
        <v>8.4579855000000009E-2</v>
      </c>
      <c r="N46" s="163">
        <f>Calculation!Z52*1000</f>
        <v>6.7398630000000001E-2</v>
      </c>
    </row>
    <row r="47" spans="1:14" x14ac:dyDescent="0.25">
      <c r="A47" s="124" t="s">
        <v>156</v>
      </c>
      <c r="B47" s="124" t="s">
        <v>157</v>
      </c>
      <c r="C47" s="125" t="s">
        <v>158</v>
      </c>
      <c r="D47" s="161" t="s">
        <v>32</v>
      </c>
      <c r="E47" s="161" t="s">
        <v>169</v>
      </c>
      <c r="F47" s="161" t="s">
        <v>161</v>
      </c>
      <c r="G47" s="125" t="s">
        <v>162</v>
      </c>
      <c r="H47" s="164" t="s">
        <v>172</v>
      </c>
      <c r="I47" s="163">
        <f>Calculation!U53*1000</f>
        <v>8.8335000000000011E-2</v>
      </c>
      <c r="J47" s="163">
        <f>Calculation!V53*1000</f>
        <v>6.6251249999999998E-2</v>
      </c>
      <c r="K47" s="163">
        <f>Calculation!W53*1000</f>
        <v>5.8889999999999998E-2</v>
      </c>
      <c r="L47" s="163">
        <f>Calculation!X53*1000</f>
        <v>3.6806250000000006E-2</v>
      </c>
      <c r="M47" s="163">
        <f>Calculation!Y53*1000</f>
        <v>2.9444999999999999E-2</v>
      </c>
      <c r="N47" s="163">
        <f>Calculation!Z53*1000</f>
        <v>2.9444999999999999E-2</v>
      </c>
    </row>
    <row r="48" spans="1:14" x14ac:dyDescent="0.25">
      <c r="A48" s="124" t="s">
        <v>156</v>
      </c>
      <c r="B48" s="124" t="s">
        <v>157</v>
      </c>
      <c r="C48" s="125" t="s">
        <v>158</v>
      </c>
      <c r="D48" s="161" t="s">
        <v>38</v>
      </c>
      <c r="E48" s="161" t="s">
        <v>170</v>
      </c>
      <c r="F48" s="161" t="s">
        <v>161</v>
      </c>
      <c r="G48" s="125" t="s">
        <v>162</v>
      </c>
      <c r="H48" s="164" t="s">
        <v>172</v>
      </c>
      <c r="I48" s="163">
        <f>Calculation!U57*1000</f>
        <v>388.32409349999995</v>
      </c>
      <c r="J48" s="163">
        <f>Calculation!V57*1000</f>
        <v>397.17981449999996</v>
      </c>
      <c r="K48" s="163">
        <f>Calculation!W57*1000</f>
        <v>402.63299999999998</v>
      </c>
      <c r="L48" s="163">
        <f>Calculation!X57*1000</f>
        <v>420.05250000000001</v>
      </c>
      <c r="M48" s="163">
        <f>Calculation!Y57*1000</f>
        <v>458.19899999999996</v>
      </c>
      <c r="N48" s="163">
        <f>Calculation!Z57*1000</f>
        <v>457.31699999999995</v>
      </c>
    </row>
    <row r="49" spans="1:14" x14ac:dyDescent="0.25">
      <c r="A49" s="124" t="s">
        <v>156</v>
      </c>
      <c r="B49" s="124" t="s">
        <v>157</v>
      </c>
      <c r="C49" s="125" t="s">
        <v>158</v>
      </c>
      <c r="D49" s="161" t="s">
        <v>38</v>
      </c>
      <c r="E49" s="161" t="s">
        <v>35</v>
      </c>
      <c r="F49" s="161" t="s">
        <v>161</v>
      </c>
      <c r="G49" s="125" t="s">
        <v>162</v>
      </c>
      <c r="H49" s="164" t="s">
        <v>172</v>
      </c>
      <c r="I49" s="163">
        <f>Calculation!U58*1000</f>
        <v>0.46598108485074158</v>
      </c>
      <c r="J49" s="163">
        <f>Calculation!V58*1000</f>
        <v>0.33959249999999996</v>
      </c>
      <c r="K49" s="163">
        <f>Calculation!W58*1000</f>
        <v>0.28844399999999998</v>
      </c>
      <c r="L49" s="163">
        <f>Calculation!X58*1000</f>
        <v>0.1987245</v>
      </c>
      <c r="M49" s="163">
        <f>Calculation!Y58*1000</f>
        <v>0.21465599999999999</v>
      </c>
      <c r="N49" s="163">
        <f>Calculation!Z58*1000</f>
        <v>0.22849125000000003</v>
      </c>
    </row>
    <row r="50" spans="1:14" x14ac:dyDescent="0.25">
      <c r="A50" s="124" t="s">
        <v>156</v>
      </c>
      <c r="B50" s="124" t="s">
        <v>157</v>
      </c>
      <c r="C50" s="125" t="s">
        <v>158</v>
      </c>
      <c r="D50" s="161" t="s">
        <v>100</v>
      </c>
      <c r="E50" s="161" t="s">
        <v>51</v>
      </c>
      <c r="F50" s="161" t="s">
        <v>161</v>
      </c>
      <c r="G50" s="125" t="s">
        <v>162</v>
      </c>
      <c r="H50" s="164" t="s">
        <v>172</v>
      </c>
      <c r="I50" s="163">
        <f>Calculation!U62*1000</f>
        <v>101.04431945184501</v>
      </c>
      <c r="J50" s="163">
        <f>Calculation!V62*1000</f>
        <v>119.63843775000002</v>
      </c>
      <c r="K50" s="163">
        <f>Calculation!W62*1000</f>
        <v>115.24930949999998</v>
      </c>
      <c r="L50" s="163">
        <f>Calculation!X62*1000</f>
        <v>98.604665249999996</v>
      </c>
      <c r="M50" s="163">
        <f>Calculation!Y62*1000</f>
        <v>91.421235749999994</v>
      </c>
      <c r="N50" s="163">
        <f>Calculation!Z62*1000</f>
        <v>74.585413500000001</v>
      </c>
    </row>
    <row r="51" spans="1:14" x14ac:dyDescent="0.25">
      <c r="A51" s="124" t="s">
        <v>156</v>
      </c>
      <c r="B51" s="124" t="s">
        <v>157</v>
      </c>
      <c r="C51" s="125" t="s">
        <v>158</v>
      </c>
      <c r="D51" s="161" t="s">
        <v>100</v>
      </c>
      <c r="E51" s="161" t="s">
        <v>106</v>
      </c>
      <c r="F51" s="161" t="s">
        <v>161</v>
      </c>
      <c r="G51" s="125" t="s">
        <v>162</v>
      </c>
      <c r="H51" s="164" t="s">
        <v>172</v>
      </c>
      <c r="I51" s="163">
        <f>Calculation!U63*1000</f>
        <v>0.87331249700149904</v>
      </c>
      <c r="J51" s="163">
        <f>Calculation!V63*1000</f>
        <v>0.46504499999999999</v>
      </c>
      <c r="K51" s="163">
        <f>Calculation!W63*1000</f>
        <v>0.17053800000000002</v>
      </c>
      <c r="L51" s="163">
        <f>Calculation!X63*1000</f>
        <v>0.102297</v>
      </c>
      <c r="M51" s="163">
        <f>Calculation!Y63*1000</f>
        <v>5.7340499999999982E-2</v>
      </c>
      <c r="N51" s="163">
        <f>Calculation!Z63*1000</f>
        <v>5.2567499999999996E-2</v>
      </c>
    </row>
    <row r="52" spans="1:14" x14ac:dyDescent="0.25">
      <c r="A52" s="124" t="s">
        <v>156</v>
      </c>
      <c r="B52" s="124" t="s">
        <v>157</v>
      </c>
      <c r="C52" s="125" t="s">
        <v>158</v>
      </c>
      <c r="D52" s="161" t="s">
        <v>100</v>
      </c>
      <c r="E52" s="161" t="s">
        <v>165</v>
      </c>
      <c r="F52" s="161" t="s">
        <v>161</v>
      </c>
      <c r="G52" s="125" t="s">
        <v>162</v>
      </c>
      <c r="H52" s="164" t="s">
        <v>172</v>
      </c>
      <c r="I52" s="163">
        <f>Calculation!U64*1000</f>
        <v>20.795413103136553</v>
      </c>
      <c r="J52" s="163">
        <f>Calculation!V64*1000</f>
        <v>31.214568249999999</v>
      </c>
      <c r="K52" s="163">
        <f>Calculation!W64*1000</f>
        <v>42.216781699999999</v>
      </c>
      <c r="L52" s="163">
        <f>Calculation!X64*1000</f>
        <v>57.975079749999999</v>
      </c>
      <c r="M52" s="163">
        <f>Calculation!Y64*1000</f>
        <v>37.716506449999997</v>
      </c>
      <c r="N52" s="163">
        <f>Calculation!Z64*1000</f>
        <v>23.812976899999999</v>
      </c>
    </row>
    <row r="53" spans="1:14" x14ac:dyDescent="0.25">
      <c r="A53" s="124" t="s">
        <v>156</v>
      </c>
      <c r="B53" s="124" t="s">
        <v>157</v>
      </c>
      <c r="C53" s="125" t="s">
        <v>158</v>
      </c>
      <c r="D53" s="125" t="s">
        <v>159</v>
      </c>
      <c r="E53" s="161" t="s">
        <v>160</v>
      </c>
      <c r="F53" s="161" t="s">
        <v>161</v>
      </c>
      <c r="G53" s="125" t="s">
        <v>162</v>
      </c>
      <c r="H53" s="164" t="s">
        <v>173</v>
      </c>
      <c r="I53" s="163">
        <f>Calculation!AD39/1000</f>
        <v>31.667171304809994</v>
      </c>
      <c r="J53" s="163">
        <f>Calculation!AE39/1000</f>
        <v>34.674291894394997</v>
      </c>
      <c r="K53" s="163">
        <f>Calculation!AF39/1000</f>
        <v>39.081529994</v>
      </c>
      <c r="L53" s="163">
        <f>Calculation!AG39/1000</f>
        <v>43.553201674999997</v>
      </c>
      <c r="M53" s="163">
        <f>Calculation!AH39/1000</f>
        <v>46.517020633750001</v>
      </c>
      <c r="N53" s="163">
        <f>Calculation!AI39/1000</f>
        <v>48.917949837999991</v>
      </c>
    </row>
    <row r="54" spans="1:14" x14ac:dyDescent="0.25">
      <c r="A54" s="124" t="s">
        <v>156</v>
      </c>
      <c r="B54" s="124" t="s">
        <v>157</v>
      </c>
      <c r="C54" s="125" t="s">
        <v>158</v>
      </c>
      <c r="D54" s="125" t="s">
        <v>159</v>
      </c>
      <c r="E54" s="161" t="s">
        <v>51</v>
      </c>
      <c r="F54" s="161" t="s">
        <v>161</v>
      </c>
      <c r="G54" s="125" t="s">
        <v>162</v>
      </c>
      <c r="H54" s="164" t="s">
        <v>173</v>
      </c>
      <c r="I54" s="163">
        <f>Calculation!AD40/1000</f>
        <v>7.4130746433080823</v>
      </c>
      <c r="J54" s="163">
        <f>Calculation!AE40/1000</f>
        <v>7.6862392779607482</v>
      </c>
      <c r="K54" s="163">
        <f>Calculation!AF40/1000</f>
        <v>7.8470410940024991</v>
      </c>
      <c r="L54" s="163">
        <f>Calculation!AG40/1000</f>
        <v>8.0109145237874984</v>
      </c>
      <c r="M54" s="163">
        <f>Calculation!AH40/1000</f>
        <v>8.2330432559114985</v>
      </c>
      <c r="N54" s="163">
        <f>Calculation!AI40/1000</f>
        <v>7.4398699212824999</v>
      </c>
    </row>
    <row r="55" spans="1:14" x14ac:dyDescent="0.25">
      <c r="A55" s="124" t="s">
        <v>156</v>
      </c>
      <c r="B55" s="124" t="s">
        <v>157</v>
      </c>
      <c r="C55" s="125" t="s">
        <v>158</v>
      </c>
      <c r="D55" s="125" t="s">
        <v>159</v>
      </c>
      <c r="E55" s="161" t="s">
        <v>164</v>
      </c>
      <c r="F55" s="161" t="s">
        <v>161</v>
      </c>
      <c r="G55" s="125" t="s">
        <v>162</v>
      </c>
      <c r="H55" s="164" t="s">
        <v>173</v>
      </c>
      <c r="I55" s="163">
        <f>Calculation!AD41/1000</f>
        <v>0.59600673961966955</v>
      </c>
      <c r="J55" s="163">
        <f>Calculation!AE41/1000</f>
        <v>0.56743104818399981</v>
      </c>
      <c r="K55" s="163">
        <f>Calculation!AF41/1000</f>
        <v>0.65154177369599997</v>
      </c>
      <c r="L55" s="163">
        <f>Calculation!AG41/1000</f>
        <v>0.68114137013999998</v>
      </c>
      <c r="M55" s="163">
        <f>Calculation!AH41/1000</f>
        <v>0.67960155080399998</v>
      </c>
      <c r="N55" s="163">
        <f>Calculation!AI41/1000</f>
        <v>0.65925611611199997</v>
      </c>
    </row>
    <row r="56" spans="1:14" x14ac:dyDescent="0.25">
      <c r="A56" s="124" t="s">
        <v>156</v>
      </c>
      <c r="B56" s="124" t="s">
        <v>157</v>
      </c>
      <c r="C56" s="125" t="s">
        <v>158</v>
      </c>
      <c r="D56" s="125" t="s">
        <v>159</v>
      </c>
      <c r="E56" s="161" t="s">
        <v>106</v>
      </c>
      <c r="F56" s="161" t="s">
        <v>161</v>
      </c>
      <c r="G56" s="125" t="s">
        <v>162</v>
      </c>
      <c r="H56" s="164" t="s">
        <v>173</v>
      </c>
      <c r="I56" s="163">
        <f>Calculation!AD42/1000</f>
        <v>0</v>
      </c>
      <c r="J56" s="163">
        <f>Calculation!AE42/1000</f>
        <v>0</v>
      </c>
      <c r="K56" s="163">
        <f>Calculation!AF42/1000</f>
        <v>0</v>
      </c>
      <c r="L56" s="163">
        <f>Calculation!AG42/1000</f>
        <v>0</v>
      </c>
      <c r="M56" s="163">
        <f>Calculation!AH42/1000</f>
        <v>2.4024959999999998E-5</v>
      </c>
      <c r="N56" s="163">
        <f>Calculation!AI42/1000</f>
        <v>5.6058239999999994E-5</v>
      </c>
    </row>
    <row r="57" spans="1:14" x14ac:dyDescent="0.25">
      <c r="A57" s="124" t="s">
        <v>156</v>
      </c>
      <c r="B57" s="124" t="s">
        <v>157</v>
      </c>
      <c r="C57" s="125" t="s">
        <v>158</v>
      </c>
      <c r="D57" s="125" t="s">
        <v>159</v>
      </c>
      <c r="E57" s="161" t="s">
        <v>165</v>
      </c>
      <c r="F57" s="161" t="s">
        <v>161</v>
      </c>
      <c r="G57" s="125" t="s">
        <v>162</v>
      </c>
      <c r="H57" s="164" t="s">
        <v>173</v>
      </c>
      <c r="I57" s="163">
        <f>Calculation!AD43/1000</f>
        <v>0.17021304398603401</v>
      </c>
      <c r="J57" s="163">
        <f>Calculation!AE43/1000</f>
        <v>0.12127091922659999</v>
      </c>
      <c r="K57" s="163">
        <f>Calculation!AF43/1000</f>
        <v>2.6674297017225006E-2</v>
      </c>
      <c r="L57" s="163">
        <f>Calculation!AG43/1000</f>
        <v>3.8228738047500001E-4</v>
      </c>
      <c r="M57" s="163">
        <f>Calculation!AH43/1000</f>
        <v>1.6383744877500001E-3</v>
      </c>
      <c r="N57" s="163">
        <f>Calculation!AI43/1000</f>
        <v>3.6824417057999999E-3</v>
      </c>
    </row>
    <row r="58" spans="1:14" x14ac:dyDescent="0.25">
      <c r="A58" s="124" t="s">
        <v>156</v>
      </c>
      <c r="B58" s="124" t="s">
        <v>157</v>
      </c>
      <c r="C58" s="125" t="s">
        <v>158</v>
      </c>
      <c r="D58" s="125" t="s">
        <v>159</v>
      </c>
      <c r="E58" s="161" t="s">
        <v>59</v>
      </c>
      <c r="F58" s="161" t="s">
        <v>161</v>
      </c>
      <c r="G58" s="125" t="s">
        <v>162</v>
      </c>
      <c r="H58" s="164" t="s">
        <v>173</v>
      </c>
      <c r="I58" s="163">
        <f>Calculation!AD44/1000</f>
        <v>1.8960136002581038</v>
      </c>
      <c r="J58" s="163">
        <f>Calculation!AE44/1000</f>
        <v>2.1500770001111076</v>
      </c>
      <c r="K58" s="163">
        <f>Calculation!AF44/1000</f>
        <v>2.9091540424031996</v>
      </c>
      <c r="L58" s="163">
        <f>Calculation!AG44/1000</f>
        <v>3.3959103522912</v>
      </c>
      <c r="M58" s="163">
        <f>Calculation!AH44/1000</f>
        <v>4.3089709787423986</v>
      </c>
      <c r="N58" s="163">
        <f>Calculation!AI44/1000</f>
        <v>4.2622580748095968</v>
      </c>
    </row>
    <row r="59" spans="1:14" x14ac:dyDescent="0.25">
      <c r="A59" s="124" t="s">
        <v>156</v>
      </c>
      <c r="B59" s="124" t="s">
        <v>157</v>
      </c>
      <c r="C59" s="125" t="s">
        <v>158</v>
      </c>
      <c r="D59" s="125" t="s">
        <v>159</v>
      </c>
      <c r="E59" s="161" t="s">
        <v>166</v>
      </c>
      <c r="F59" s="161" t="s">
        <v>161</v>
      </c>
      <c r="G59" s="125" t="s">
        <v>162</v>
      </c>
      <c r="H59" s="164" t="s">
        <v>173</v>
      </c>
      <c r="I59" s="163">
        <f>Calculation!AD45/1000</f>
        <v>98.656725387486389</v>
      </c>
      <c r="J59" s="163">
        <f>Calculation!AE45/1000</f>
        <v>97.403825169543978</v>
      </c>
      <c r="K59" s="163">
        <f>Calculation!AF45/1000</f>
        <v>102.5717168064138</v>
      </c>
      <c r="L59" s="163">
        <f>Calculation!AG45/1000</f>
        <v>111.10531941913426</v>
      </c>
      <c r="M59" s="163">
        <f>Calculation!AH45/1000</f>
        <v>127.58514210888744</v>
      </c>
      <c r="N59" s="163">
        <f>Calculation!AI45/1000</f>
        <v>141.0711438820008</v>
      </c>
    </row>
    <row r="60" spans="1:14" x14ac:dyDescent="0.25">
      <c r="A60" s="124" t="s">
        <v>156</v>
      </c>
      <c r="B60" s="124" t="s">
        <v>157</v>
      </c>
      <c r="C60" s="125" t="s">
        <v>158</v>
      </c>
      <c r="D60" s="161" t="s">
        <v>32</v>
      </c>
      <c r="E60" s="161" t="s">
        <v>35</v>
      </c>
      <c r="F60" s="161" t="s">
        <v>161</v>
      </c>
      <c r="G60" s="125" t="s">
        <v>162</v>
      </c>
      <c r="H60" s="164" t="s">
        <v>173</v>
      </c>
      <c r="I60" s="163">
        <f>Calculation!AD49/1000</f>
        <v>7.0882904792640176</v>
      </c>
      <c r="J60" s="163">
        <f>Calculation!AE49/1000</f>
        <v>7.6195785693428739</v>
      </c>
      <c r="K60" s="163">
        <f>Calculation!AF49/1000</f>
        <v>7.9891530441361231</v>
      </c>
      <c r="L60" s="163">
        <f>Calculation!AG49/1000</f>
        <v>8.3687003335484995</v>
      </c>
      <c r="M60" s="163">
        <f>Calculation!AH49/1000</f>
        <v>8.6234579811242504</v>
      </c>
      <c r="N60" s="163">
        <f>Calculation!AI49/1000</f>
        <v>8.9676674010088746</v>
      </c>
    </row>
    <row r="61" spans="1:14" x14ac:dyDescent="0.25">
      <c r="A61" s="124" t="s">
        <v>156</v>
      </c>
      <c r="B61" s="124" t="s">
        <v>157</v>
      </c>
      <c r="C61" s="125" t="s">
        <v>158</v>
      </c>
      <c r="D61" s="161" t="s">
        <v>32</v>
      </c>
      <c r="E61" s="161" t="s">
        <v>106</v>
      </c>
      <c r="F61" s="161" t="s">
        <v>161</v>
      </c>
      <c r="G61" s="125" t="s">
        <v>162</v>
      </c>
      <c r="H61" s="164" t="s">
        <v>173</v>
      </c>
      <c r="I61" s="163">
        <f>Calculation!AD50/1000</f>
        <v>7.6773614680659659E-3</v>
      </c>
      <c r="J61" s="163">
        <f>Calculation!AE50/1000</f>
        <v>6.9992716799999986E-3</v>
      </c>
      <c r="K61" s="163">
        <f>Calculation!AF50/1000</f>
        <v>5.9822150399999998E-3</v>
      </c>
      <c r="L61" s="163">
        <f>Calculation!AG50/1000</f>
        <v>4.1162764800000001E-3</v>
      </c>
      <c r="M61" s="163">
        <f>Calculation!AH50/1000</f>
        <v>2.8910035199999989E-3</v>
      </c>
      <c r="N61" s="163">
        <f>Calculation!AI50/1000</f>
        <v>2.82693696E-3</v>
      </c>
    </row>
    <row r="62" spans="1:14" x14ac:dyDescent="0.25">
      <c r="A62" s="124" t="s">
        <v>156</v>
      </c>
      <c r="B62" s="124" t="s">
        <v>157</v>
      </c>
      <c r="C62" s="125" t="s">
        <v>158</v>
      </c>
      <c r="D62" s="161" t="s">
        <v>32</v>
      </c>
      <c r="E62" s="161" t="s">
        <v>167</v>
      </c>
      <c r="F62" s="161" t="s">
        <v>161</v>
      </c>
      <c r="G62" s="125" t="s">
        <v>162</v>
      </c>
      <c r="H62" s="164" t="s">
        <v>173</v>
      </c>
      <c r="I62" s="163">
        <f>Calculation!AD51/1000</f>
        <v>2.7886826044922321E-3</v>
      </c>
      <c r="J62" s="163">
        <f>Calculation!AE51/1000</f>
        <v>2.5231693080000001E-3</v>
      </c>
      <c r="K62" s="163">
        <f>Calculation!AF51/1000</f>
        <v>2.3402204759999999E-3</v>
      </c>
      <c r="L62" s="163">
        <f>Calculation!AG51/1000</f>
        <v>2.7061181399999994E-3</v>
      </c>
      <c r="M62" s="163">
        <f>Calculation!AH51/1000</f>
        <v>2.6298894599999997E-3</v>
      </c>
      <c r="N62" s="163">
        <f>Calculation!AI51/1000</f>
        <v>2.4240720240000001E-3</v>
      </c>
    </row>
    <row r="63" spans="1:14" x14ac:dyDescent="0.25">
      <c r="A63" s="124" t="s">
        <v>156</v>
      </c>
      <c r="B63" s="124" t="s">
        <v>157</v>
      </c>
      <c r="C63" s="125" t="s">
        <v>158</v>
      </c>
      <c r="D63" s="161" t="s">
        <v>32</v>
      </c>
      <c r="E63" s="161" t="s">
        <v>168</v>
      </c>
      <c r="F63" s="161" t="s">
        <v>161</v>
      </c>
      <c r="G63" s="125" t="s">
        <v>162</v>
      </c>
      <c r="H63" s="164" t="s">
        <v>173</v>
      </c>
      <c r="I63" s="163">
        <f>Calculation!AD52/1000</f>
        <v>0</v>
      </c>
      <c r="J63" s="163">
        <f>Calculation!AE52/1000</f>
        <v>9.2451131808749983E-3</v>
      </c>
      <c r="K63" s="163">
        <f>Calculation!AF52/1000</f>
        <v>1.0384173539025E-2</v>
      </c>
      <c r="L63" s="163">
        <f>Calculation!AG52/1000</f>
        <v>1.1538837463725001E-2</v>
      </c>
      <c r="M63" s="163">
        <f>Calculation!AH52/1000</f>
        <v>1.0945901934825003E-2</v>
      </c>
      <c r="N63" s="163">
        <f>Calculation!AI52/1000</f>
        <v>8.7223937014500007E-3</v>
      </c>
    </row>
    <row r="64" spans="1:14" x14ac:dyDescent="0.25">
      <c r="A64" s="124" t="s">
        <v>156</v>
      </c>
      <c r="B64" s="124" t="s">
        <v>157</v>
      </c>
      <c r="C64" s="125" t="s">
        <v>158</v>
      </c>
      <c r="D64" s="161" t="s">
        <v>32</v>
      </c>
      <c r="E64" s="161" t="s">
        <v>169</v>
      </c>
      <c r="F64" s="161" t="s">
        <v>161</v>
      </c>
      <c r="G64" s="125" t="s">
        <v>162</v>
      </c>
      <c r="H64" s="164" t="s">
        <v>173</v>
      </c>
      <c r="I64" s="163">
        <f>Calculation!AD53/1000</f>
        <v>5.5602171299999987E-3</v>
      </c>
      <c r="J64" s="163">
        <f>Calculation!AE53/1000</f>
        <v>4.1701628474999997E-3</v>
      </c>
      <c r="K64" s="163">
        <f>Calculation!AF53/1000</f>
        <v>3.70681142E-3</v>
      </c>
      <c r="L64" s="163">
        <f>Calculation!AG53/1000</f>
        <v>2.3167571374999997E-3</v>
      </c>
      <c r="M64" s="163">
        <f>Calculation!AH53/1000</f>
        <v>1.85340571E-3</v>
      </c>
      <c r="N64" s="163">
        <f>Calculation!AI53/1000</f>
        <v>1.85340571E-3</v>
      </c>
    </row>
    <row r="65" spans="1:14" x14ac:dyDescent="0.25">
      <c r="A65" s="124" t="s">
        <v>156</v>
      </c>
      <c r="B65" s="124" t="s">
        <v>157</v>
      </c>
      <c r="C65" s="125" t="s">
        <v>158</v>
      </c>
      <c r="D65" s="161" t="s">
        <v>38</v>
      </c>
      <c r="E65" s="161" t="s">
        <v>170</v>
      </c>
      <c r="F65" s="161" t="s">
        <v>161</v>
      </c>
      <c r="G65" s="125" t="s">
        <v>162</v>
      </c>
      <c r="H65" s="164" t="s">
        <v>173</v>
      </c>
      <c r="I65" s="163">
        <f>Calculation!AD57/1000</f>
        <v>13.713762442975874</v>
      </c>
      <c r="J65" s="163">
        <f>Calculation!AE57/1000</f>
        <v>14.026504444021125</v>
      </c>
      <c r="K65" s="163">
        <f>Calculation!AF57/1000</f>
        <v>14.219085053250001</v>
      </c>
      <c r="L65" s="163">
        <f>Calculation!AG57/1000</f>
        <v>14.834259050625</v>
      </c>
      <c r="M65" s="163">
        <f>Calculation!AH57/1000</f>
        <v>16.181412234749999</v>
      </c>
      <c r="N65" s="163">
        <f>Calculation!AI57/1000</f>
        <v>16.150264184249998</v>
      </c>
    </row>
    <row r="66" spans="1:14" x14ac:dyDescent="0.25">
      <c r="A66" s="124" t="s">
        <v>156</v>
      </c>
      <c r="B66" s="124" t="s">
        <v>157</v>
      </c>
      <c r="C66" s="125" t="s">
        <v>158</v>
      </c>
      <c r="D66" s="161" t="s">
        <v>38</v>
      </c>
      <c r="E66" s="161" t="s">
        <v>35</v>
      </c>
      <c r="F66" s="161" t="s">
        <v>161</v>
      </c>
      <c r="G66" s="125" t="s">
        <v>162</v>
      </c>
      <c r="H66" s="164" t="s">
        <v>173</v>
      </c>
      <c r="I66" s="163">
        <f>Calculation!AD58/1000</f>
        <v>9.0078803512496849E-3</v>
      </c>
      <c r="J66" s="163">
        <f>Calculation!AE58/1000</f>
        <v>6.5646626174999997E-3</v>
      </c>
      <c r="K66" s="163">
        <f>Calculation!AF58/1000</f>
        <v>5.5759109639999995E-3</v>
      </c>
      <c r="L66" s="163">
        <f>Calculation!AG58/1000</f>
        <v>3.8415433094999996E-3</v>
      </c>
      <c r="M66" s="163">
        <f>Calculation!AH58/1000</f>
        <v>4.1495151359999998E-3</v>
      </c>
      <c r="N66" s="163">
        <f>Calculation!AI58/1000</f>
        <v>4.4169643537500004E-3</v>
      </c>
    </row>
    <row r="67" spans="1:14" x14ac:dyDescent="0.25">
      <c r="A67" s="124" t="s">
        <v>156</v>
      </c>
      <c r="B67" s="124" t="s">
        <v>157</v>
      </c>
      <c r="C67" s="125" t="s">
        <v>158</v>
      </c>
      <c r="D67" s="161" t="s">
        <v>100</v>
      </c>
      <c r="E67" s="161" t="s">
        <v>51</v>
      </c>
      <c r="F67" s="161" t="s">
        <v>161</v>
      </c>
      <c r="G67" s="125" t="s">
        <v>162</v>
      </c>
      <c r="H67" s="164" t="s">
        <v>173</v>
      </c>
      <c r="I67" s="163">
        <f>Calculation!AD62/1000</f>
        <v>1.9532877393236161</v>
      </c>
      <c r="J67" s="163">
        <f>Calculation!AE62/1000</f>
        <v>2.3127306401452508</v>
      </c>
      <c r="K67" s="163">
        <f>Calculation!AF62/1000</f>
        <v>2.2278844019444994</v>
      </c>
      <c r="L67" s="163">
        <f>Calculation!AG62/1000</f>
        <v>1.9061267839477496</v>
      </c>
      <c r="M67" s="163">
        <f>Calculation!AH62/1000</f>
        <v>1.7672639082832498</v>
      </c>
      <c r="N67" s="163">
        <f>Calculation!AI62/1000</f>
        <v>1.4418106283684999</v>
      </c>
    </row>
    <row r="68" spans="1:14" x14ac:dyDescent="0.25">
      <c r="A68" s="124" t="s">
        <v>156</v>
      </c>
      <c r="B68" s="124" t="s">
        <v>157</v>
      </c>
      <c r="C68" s="125" t="s">
        <v>158</v>
      </c>
      <c r="D68" s="161" t="s">
        <v>100</v>
      </c>
      <c r="E68" s="161" t="s">
        <v>106</v>
      </c>
      <c r="F68" s="161" t="s">
        <v>161</v>
      </c>
      <c r="G68" s="125" t="s">
        <v>162</v>
      </c>
      <c r="H68" s="164" t="s">
        <v>173</v>
      </c>
      <c r="I68" s="163">
        <f>Calculation!AD63/1000</f>
        <v>0.10843047962770612</v>
      </c>
      <c r="J68" s="163">
        <f>Calculation!AE63/1000</f>
        <v>5.7739987200000002E-2</v>
      </c>
      <c r="K68" s="163">
        <f>Calculation!AF63/1000</f>
        <v>2.1173998079999999E-2</v>
      </c>
      <c r="L68" s="163">
        <f>Calculation!AG63/1000</f>
        <v>1.270119552E-2</v>
      </c>
      <c r="M68" s="163">
        <f>Calculation!AH63/1000</f>
        <v>7.119396479999999E-3</v>
      </c>
      <c r="N68" s="163">
        <f>Calculation!AI63/1000</f>
        <v>6.5267807999999988E-3</v>
      </c>
    </row>
    <row r="69" spans="1:14" x14ac:dyDescent="0.25">
      <c r="A69" s="124" t="s">
        <v>156</v>
      </c>
      <c r="B69" s="124" t="s">
        <v>157</v>
      </c>
      <c r="C69" s="125" t="s">
        <v>158</v>
      </c>
      <c r="D69" s="161" t="s">
        <v>100</v>
      </c>
      <c r="E69" s="161" t="s">
        <v>165</v>
      </c>
      <c r="F69" s="161" t="s">
        <v>161</v>
      </c>
      <c r="G69" s="125" t="s">
        <v>162</v>
      </c>
      <c r="H69" s="164" t="s">
        <v>173</v>
      </c>
      <c r="I69" s="163">
        <f>Calculation!AD64/1000</f>
        <v>0.81275752801643764</v>
      </c>
      <c r="J69" s="163">
        <f>Calculation!AE64/1000</f>
        <v>1.2199745781988751</v>
      </c>
      <c r="K69" s="163">
        <f>Calculation!AF64/1000</f>
        <v>1.6499795875719501</v>
      </c>
      <c r="L69" s="163">
        <f>Calculation!AG64/1000</f>
        <v>2.2658690294091253</v>
      </c>
      <c r="M69" s="163">
        <f>Calculation!AH64/1000</f>
        <v>1.474093079838575</v>
      </c>
      <c r="N69" s="163">
        <f>Calculation!AI64/1000</f>
        <v>0.93069448267114996</v>
      </c>
    </row>
    <row r="70" spans="1:14" x14ac:dyDescent="0.25">
      <c r="A70" s="124" t="s">
        <v>156</v>
      </c>
      <c r="B70" s="124" t="s">
        <v>157</v>
      </c>
      <c r="C70" s="125" t="s">
        <v>158</v>
      </c>
      <c r="D70" s="125" t="s">
        <v>159</v>
      </c>
      <c r="E70" s="161" t="s">
        <v>160</v>
      </c>
      <c r="F70" s="161" t="s">
        <v>161</v>
      </c>
      <c r="G70" s="125" t="s">
        <v>162</v>
      </c>
      <c r="H70" s="164" t="s">
        <v>177</v>
      </c>
      <c r="I70" s="163">
        <f>(I2+I19*'Emission Factors'!$D$54+'Emission Factors'!$D$55*'Final Results'!I36)/10^6</f>
        <v>31.374522655433996</v>
      </c>
      <c r="J70" s="163">
        <f>(J2+J19*'Emission Factors'!$D$54+'Emission Factors'!$D$55*'Final Results'!J36)/10^6</f>
        <v>34.353853273803004</v>
      </c>
      <c r="K70" s="163">
        <f>(K2+K19*'Emission Factors'!$D$54+'Emission Factors'!$D$55*'Final Results'!K36)/10^6</f>
        <v>38.720362371599997</v>
      </c>
      <c r="L70" s="163">
        <f>(L2+L19*'Emission Factors'!$D$54+'Emission Factors'!$D$55*'Final Results'!L36)/10^6</f>
        <v>43.150709595000009</v>
      </c>
      <c r="M70" s="163">
        <f>(M2+M19*'Emission Factors'!$D$54+'Emission Factors'!$D$55*'Final Results'!M36)/10^6</f>
        <v>46.087138749749997</v>
      </c>
      <c r="N70" s="163">
        <f>(N2+N19*'Emission Factors'!$D$54+'Emission Factors'!$D$55*'Final Results'!N36)/10^6</f>
        <v>48.465880033200001</v>
      </c>
    </row>
    <row r="71" spans="1:14" x14ac:dyDescent="0.25">
      <c r="A71" s="124" t="s">
        <v>156</v>
      </c>
      <c r="B71" s="124" t="s">
        <v>157</v>
      </c>
      <c r="C71" s="125" t="s">
        <v>158</v>
      </c>
      <c r="D71" s="125" t="s">
        <v>159</v>
      </c>
      <c r="E71" s="161" t="s">
        <v>51</v>
      </c>
      <c r="F71" s="161" t="s">
        <v>161</v>
      </c>
      <c r="G71" s="125" t="s">
        <v>162</v>
      </c>
      <c r="H71" s="164" t="s">
        <v>177</v>
      </c>
      <c r="I71" s="163">
        <f>(I3+I20*'Emission Factors'!$D$54+'Emission Factors'!$D$55*'Final Results'!I37)/10^6</f>
        <v>7.3915996973650246</v>
      </c>
      <c r="J71" s="163">
        <f>(J3+J20*'Emission Factors'!$D$54+'Emission Factors'!$D$55*'Final Results'!J37)/10^6</f>
        <v>7.663973001018749</v>
      </c>
      <c r="K71" s="163">
        <f>(K3+K20*'Emission Factors'!$D$54+'Emission Factors'!$D$55*'Final Results'!K37)/10^6</f>
        <v>7.8243089900624989</v>
      </c>
      <c r="L71" s="163">
        <f>(L3+L20*'Emission Factors'!$D$54+'Emission Factors'!$D$55*'Final Results'!L37)/10^6</f>
        <v>7.9877076946874999</v>
      </c>
      <c r="M71" s="163">
        <f>(M3+M20*'Emission Factors'!$D$54+'Emission Factors'!$D$55*'Final Results'!M37)/10^6</f>
        <v>8.2091929417874976</v>
      </c>
      <c r="N71" s="163">
        <f>(N3+N20*'Emission Factors'!$D$54+'Emission Factors'!$D$55*'Final Results'!N37)/10^6</f>
        <v>7.4183173520624983</v>
      </c>
    </row>
    <row r="72" spans="1:14" x14ac:dyDescent="0.25">
      <c r="A72" s="124" t="s">
        <v>156</v>
      </c>
      <c r="B72" s="124" t="s">
        <v>157</v>
      </c>
      <c r="C72" s="125" t="s">
        <v>158</v>
      </c>
      <c r="D72" s="125" t="s">
        <v>159</v>
      </c>
      <c r="E72" s="161" t="s">
        <v>164</v>
      </c>
      <c r="F72" s="161" t="s">
        <v>161</v>
      </c>
      <c r="G72" s="125" t="s">
        <v>162</v>
      </c>
      <c r="H72" s="164" t="s">
        <v>177</v>
      </c>
      <c r="I72" s="163">
        <f>(I4+I21*'Emission Factors'!$D$54+'Emission Factors'!$D$55*'Final Results'!I38)/10^6</f>
        <v>0.58676116473105466</v>
      </c>
      <c r="J72" s="163">
        <f>(J4+J21*'Emission Factors'!$D$54+'Emission Factors'!$D$55*'Final Results'!J38)/10^6</f>
        <v>0.55862875468399997</v>
      </c>
      <c r="K72" s="163">
        <f>(K4+K21*'Emission Factors'!$D$54+'Emission Factors'!$D$55*'Final Results'!K38)/10^6</f>
        <v>0.64143470969600003</v>
      </c>
      <c r="L72" s="163">
        <f>(L4+L21*'Emission Factors'!$D$54+'Emission Factors'!$D$55*'Final Results'!L38)/10^6</f>
        <v>0.67057514138999996</v>
      </c>
      <c r="M72" s="163">
        <f>(M4+M21*'Emission Factors'!$D$54+'Emission Factors'!$D$55*'Final Results'!M38)/10^6</f>
        <v>0.66905920855400014</v>
      </c>
      <c r="N72" s="163">
        <f>(N4+N21*'Emission Factors'!$D$54+'Emission Factors'!$D$55*'Final Results'!N38)/10^6</f>
        <v>0.64902938311199998</v>
      </c>
    </row>
    <row r="73" spans="1:14" x14ac:dyDescent="0.25">
      <c r="A73" s="124" t="s">
        <v>156</v>
      </c>
      <c r="B73" s="124" t="s">
        <v>157</v>
      </c>
      <c r="C73" s="125" t="s">
        <v>158</v>
      </c>
      <c r="D73" s="125" t="s">
        <v>159</v>
      </c>
      <c r="E73" s="161" t="s">
        <v>106</v>
      </c>
      <c r="F73" s="161" t="s">
        <v>161</v>
      </c>
      <c r="G73" s="125" t="s">
        <v>162</v>
      </c>
      <c r="H73" s="164" t="s">
        <v>177</v>
      </c>
      <c r="I73" s="163">
        <f>(I5+I22*'Emission Factors'!$D$54+'Emission Factors'!$D$55*'Final Results'!I39)/10^6</f>
        <v>0</v>
      </c>
      <c r="J73" s="163">
        <f>(J5+J22*'Emission Factors'!$D$54+'Emission Factors'!$D$55*'Final Results'!J39)/10^6</f>
        <v>0</v>
      </c>
      <c r="K73" s="163">
        <f>(K5+K22*'Emission Factors'!$D$54+'Emission Factors'!$D$55*'Final Results'!K39)/10^6</f>
        <v>0</v>
      </c>
      <c r="L73" s="163">
        <f>(L5+L22*'Emission Factors'!$D$54+'Emission Factors'!$D$55*'Final Results'!L39)/10^6</f>
        <v>0</v>
      </c>
      <c r="M73" s="163">
        <f>(M5+M22*'Emission Factors'!$D$54+'Emission Factors'!$D$55*'Final Results'!M39)/10^6</f>
        <v>2.3965619999999994E-5</v>
      </c>
      <c r="N73" s="163">
        <f>(N5+N22*'Emission Factors'!$D$54+'Emission Factors'!$D$55*'Final Results'!N39)/10^6</f>
        <v>5.5919779999999991E-5</v>
      </c>
    </row>
    <row r="74" spans="1:14" x14ac:dyDescent="0.25">
      <c r="A74" s="124" t="s">
        <v>156</v>
      </c>
      <c r="B74" s="124" t="s">
        <v>157</v>
      </c>
      <c r="C74" s="125" t="s">
        <v>158</v>
      </c>
      <c r="D74" s="125" t="s">
        <v>159</v>
      </c>
      <c r="E74" s="161" t="s">
        <v>165</v>
      </c>
      <c r="F74" s="161" t="s">
        <v>161</v>
      </c>
      <c r="G74" s="125" t="s">
        <v>162</v>
      </c>
      <c r="H74" s="164" t="s">
        <v>177</v>
      </c>
      <c r="I74" s="163">
        <f>(I6+I23*'Emission Factors'!$D$54+'Emission Factors'!$D$55*'Final Results'!I40)/10^6</f>
        <v>0.17005521401826887</v>
      </c>
      <c r="J74" s="163">
        <f>(J6+J23*'Emission Factors'!$D$54+'Emission Factors'!$D$55*'Final Results'!J40)/10^6</f>
        <v>0.12115847082180001</v>
      </c>
      <c r="K74" s="163">
        <f>(K6+K23*'Emission Factors'!$D$54+'Emission Factors'!$D$55*'Final Results'!K40)/10^6</f>
        <v>2.6649563287425002E-2</v>
      </c>
      <c r="L74" s="163">
        <f>(L6+L23*'Emission Factors'!$D$54+'Emission Factors'!$D$55*'Final Results'!L40)/10^6</f>
        <v>3.8193290467500004E-4</v>
      </c>
      <c r="M74" s="163">
        <f>(M6+M23*'Emission Factors'!$D$54+'Emission Factors'!$D$55*'Final Results'!M40)/10^6</f>
        <v>1.63685530575E-3</v>
      </c>
      <c r="N74" s="163">
        <f>(N6+N23*'Emission Factors'!$D$54+'Emission Factors'!$D$55*'Final Results'!N40)/10^6</f>
        <v>3.6790271634000006E-3</v>
      </c>
    </row>
    <row r="75" spans="1:14" x14ac:dyDescent="0.25">
      <c r="A75" s="124" t="s">
        <v>156</v>
      </c>
      <c r="B75" s="124" t="s">
        <v>157</v>
      </c>
      <c r="C75" s="125" t="s">
        <v>158</v>
      </c>
      <c r="D75" s="125" t="s">
        <v>159</v>
      </c>
      <c r="E75" s="161" t="s">
        <v>59</v>
      </c>
      <c r="F75" s="161" t="s">
        <v>161</v>
      </c>
      <c r="G75" s="125" t="s">
        <v>162</v>
      </c>
      <c r="H75" s="164" t="s">
        <v>177</v>
      </c>
      <c r="I75" s="163">
        <f>(I7+I24*'Emission Factors'!$D$54+'Emission Factors'!$D$55*'Final Results'!I41)/10^6</f>
        <v>1.8448203969812322</v>
      </c>
      <c r="J75" s="163">
        <f>(J7+J24*'Emission Factors'!$D$54+'Emission Factors'!$D$55*'Final Results'!J41)/10^6</f>
        <v>2.0920239730059063</v>
      </c>
      <c r="K75" s="163">
        <f>(K7+K24*'Emission Factors'!$D$54+'Emission Factors'!$D$55*'Final Results'!K41)/10^6</f>
        <v>2.8306056004319995</v>
      </c>
      <c r="L75" s="163">
        <f>(L7+L24*'Emission Factors'!$D$54+'Emission Factors'!$D$55*'Final Results'!L41)/10^6</f>
        <v>3.3042192753120005</v>
      </c>
      <c r="M75" s="163">
        <f>(M7+M24*'Emission Factors'!$D$54+'Emission Factors'!$D$55*'Final Results'!M41)/10^6</f>
        <v>4.1926268622239986</v>
      </c>
      <c r="N75" s="163">
        <f>(N7+N24*'Emission Factors'!$D$54+'Emission Factors'!$D$55*'Final Results'!N41)/10^6</f>
        <v>4.1471752272959979</v>
      </c>
    </row>
    <row r="76" spans="1:14" x14ac:dyDescent="0.25">
      <c r="A76" s="124" t="s">
        <v>156</v>
      </c>
      <c r="B76" s="124" t="s">
        <v>157</v>
      </c>
      <c r="C76" s="125" t="s">
        <v>158</v>
      </c>
      <c r="D76" s="125" t="s">
        <v>159</v>
      </c>
      <c r="E76" s="161" t="s">
        <v>166</v>
      </c>
      <c r="F76" s="161" t="s">
        <v>161</v>
      </c>
      <c r="G76" s="125" t="s">
        <v>162</v>
      </c>
      <c r="H76" s="164" t="s">
        <v>177</v>
      </c>
      <c r="I76" s="163">
        <f>(I8+I25*'Emission Factors'!$D$54+'Emission Factors'!$D$55*'Final Results'!I42)/10^6</f>
        <v>98.370926586508745</v>
      </c>
      <c r="J76" s="163">
        <f>(J8+J25*'Emission Factors'!$D$54+'Emission Factors'!$D$55*'Final Results'!J42)/10^6</f>
        <v>97.121655896899298</v>
      </c>
      <c r="K76" s="163">
        <f>(K8+K25*'Emission Factors'!$D$54+'Emission Factors'!$D$55*'Final Results'!K42)/10^6</f>
        <v>102.27457666150877</v>
      </c>
      <c r="L76" s="163">
        <f>(L8+L25*'Emission Factors'!$D$54+'Emission Factors'!$D$55*'Final Results'!L42)/10^6</f>
        <v>110.78345826929869</v>
      </c>
      <c r="M76" s="163">
        <f>(M8+M25*'Emission Factors'!$D$54+'Emission Factors'!$D$55*'Final Results'!M42)/10^6</f>
        <v>127.21554053845148</v>
      </c>
      <c r="N76" s="163">
        <f>(N8+N25*'Emission Factors'!$D$54+'Emission Factors'!$D$55*'Final Results'!N42)/10^6</f>
        <v>140.66247469482002</v>
      </c>
    </row>
    <row r="77" spans="1:14" x14ac:dyDescent="0.25">
      <c r="A77" s="124" t="s">
        <v>156</v>
      </c>
      <c r="B77" s="124" t="s">
        <v>157</v>
      </c>
      <c r="C77" s="125" t="s">
        <v>158</v>
      </c>
      <c r="D77" s="161" t="s">
        <v>32</v>
      </c>
      <c r="E77" s="161" t="s">
        <v>35</v>
      </c>
      <c r="F77" s="161" t="s">
        <v>161</v>
      </c>
      <c r="G77" s="125" t="s">
        <v>162</v>
      </c>
      <c r="H77" s="164" t="s">
        <v>177</v>
      </c>
      <c r="I77" s="163">
        <f>(I9+I26*'Emission Factors'!$D$54+'Emission Factors'!$D$55*'Final Results'!I43)/10^6</f>
        <v>6.9849871512613939</v>
      </c>
      <c r="J77" s="163">
        <f>(J9+J26*'Emission Factors'!$D$54+'Emission Factors'!$D$55*'Final Results'!J43)/10^6</f>
        <v>7.5085323549568743</v>
      </c>
      <c r="K77" s="163">
        <f>(K9+K26*'Emission Factors'!$D$54+'Emission Factors'!$D$55*'Final Results'!K43)/10^6</f>
        <v>7.8727207252581231</v>
      </c>
      <c r="L77" s="163">
        <f>(L9+L26*'Emission Factors'!$D$54+'Emission Factors'!$D$55*'Final Results'!L43)/10^6</f>
        <v>8.2467365683724996</v>
      </c>
      <c r="M77" s="163">
        <f>(M9+M26*'Emission Factors'!$D$54+'Emission Factors'!$D$55*'Final Results'!M43)/10^6</f>
        <v>8.4977814289362499</v>
      </c>
      <c r="N77" s="163">
        <f>(N9+N26*'Emission Factors'!$D$54+'Emission Factors'!$D$55*'Final Results'!N43)/10^6</f>
        <v>8.8369744095668761</v>
      </c>
    </row>
    <row r="78" spans="1:14" x14ac:dyDescent="0.25">
      <c r="A78" s="124" t="s">
        <v>156</v>
      </c>
      <c r="B78" s="124" t="s">
        <v>157</v>
      </c>
      <c r="C78" s="125" t="s">
        <v>158</v>
      </c>
      <c r="D78" s="161" t="s">
        <v>32</v>
      </c>
      <c r="E78" s="161" t="s">
        <v>106</v>
      </c>
      <c r="F78" s="161" t="s">
        <v>161</v>
      </c>
      <c r="G78" s="125" t="s">
        <v>162</v>
      </c>
      <c r="H78" s="164" t="s">
        <v>177</v>
      </c>
      <c r="I78" s="163">
        <f>(I10+I27*'Emission Factors'!$D$54+'Emission Factors'!$D$55*'Final Results'!I44)/10^6</f>
        <v>7.6583989128935536E-3</v>
      </c>
      <c r="J78" s="163">
        <f>(J10+J27*'Emission Factors'!$D$54+'Emission Factors'!$D$55*'Final Results'!J44)/10^6</f>
        <v>6.9819839599999994E-3</v>
      </c>
      <c r="K78" s="163">
        <f>(K10+K27*'Emission Factors'!$D$54+'Emission Factors'!$D$55*'Final Results'!K44)/10^6</f>
        <v>5.9674393799999999E-3</v>
      </c>
      <c r="L78" s="163">
        <f>(L10+L27*'Emission Factors'!$D$54+'Emission Factors'!$D$55*'Final Results'!L44)/10^6</f>
        <v>4.1061095599999996E-3</v>
      </c>
      <c r="M78" s="163">
        <f>(M10+M27*'Emission Factors'!$D$54+'Emission Factors'!$D$55*'Final Results'!M44)/10^6</f>
        <v>2.8838629399999993E-3</v>
      </c>
      <c r="N78" s="163">
        <f>(N10+N27*'Emission Factors'!$D$54+'Emission Factors'!$D$55*'Final Results'!N44)/10^6</f>
        <v>2.8199546200000001E-3</v>
      </c>
    </row>
    <row r="79" spans="1:14" x14ac:dyDescent="0.25">
      <c r="A79" s="124" t="s">
        <v>156</v>
      </c>
      <c r="B79" s="124" t="s">
        <v>157</v>
      </c>
      <c r="C79" s="125" t="s">
        <v>158</v>
      </c>
      <c r="D79" s="161" t="s">
        <v>32</v>
      </c>
      <c r="E79" s="161" t="s">
        <v>167</v>
      </c>
      <c r="F79" s="161" t="s">
        <v>161</v>
      </c>
      <c r="G79" s="125" t="s">
        <v>162</v>
      </c>
      <c r="H79" s="164" t="s">
        <v>177</v>
      </c>
      <c r="I79" s="163">
        <f>(I11+I28*'Emission Factors'!$D$54+'Emission Factors'!$D$55*'Final Results'!I45)/10^6</f>
        <v>2.7454230704190715E-3</v>
      </c>
      <c r="J79" s="163">
        <f>(J11+J28*'Emission Factors'!$D$54+'Emission Factors'!$D$55*'Final Results'!J45)/10^6</f>
        <v>2.4840285579999996E-3</v>
      </c>
      <c r="K79" s="163">
        <f>(K11+K28*'Emission Factors'!$D$54+'Emission Factors'!$D$55*'Final Results'!K45)/10^6</f>
        <v>2.3039177259999996E-3</v>
      </c>
      <c r="L79" s="163">
        <f>(L11+L28*'Emission Factors'!$D$54+'Emission Factors'!$D$55*'Final Results'!L45)/10^6</f>
        <v>2.6641393899999996E-3</v>
      </c>
      <c r="M79" s="163">
        <f>(M11+M28*'Emission Factors'!$D$54+'Emission Factors'!$D$55*'Final Results'!M45)/10^6</f>
        <v>2.5890932099999998E-3</v>
      </c>
      <c r="N79" s="163">
        <f>(N11+N28*'Emission Factors'!$D$54+'Emission Factors'!$D$55*'Final Results'!N45)/10^6</f>
        <v>2.3864685239999993E-3</v>
      </c>
    </row>
    <row r="80" spans="1:14" x14ac:dyDescent="0.25">
      <c r="A80" s="124" t="s">
        <v>156</v>
      </c>
      <c r="B80" s="124" t="s">
        <v>157</v>
      </c>
      <c r="C80" s="125" t="s">
        <v>158</v>
      </c>
      <c r="D80" s="161" t="s">
        <v>32</v>
      </c>
      <c r="E80" s="161" t="s">
        <v>168</v>
      </c>
      <c r="F80" s="161" t="s">
        <v>161</v>
      </c>
      <c r="G80" s="125" t="s">
        <v>162</v>
      </c>
      <c r="H80" s="164" t="s">
        <v>177</v>
      </c>
      <c r="I80" s="163">
        <f>(I12+I29*'Emission Factors'!$D$54+'Emission Factors'!$D$55*'Final Results'!I46)/10^6</f>
        <v>0</v>
      </c>
      <c r="J80" s="163">
        <f>(J12+J29*'Emission Factors'!$D$54+'Emission Factors'!$D$55*'Final Results'!J46)/10^6</f>
        <v>9.236540653874999E-3</v>
      </c>
      <c r="K80" s="163">
        <f>(K12+K29*'Emission Factors'!$D$54+'Emission Factors'!$D$55*'Final Results'!K46)/10^6</f>
        <v>1.0374544818824999E-2</v>
      </c>
      <c r="L80" s="163">
        <f>(L12+L29*'Emission Factors'!$D$54+'Emission Factors'!$D$55*'Final Results'!L46)/10^6</f>
        <v>1.1528138081925002E-2</v>
      </c>
      <c r="M80" s="163">
        <f>(M12+M29*'Emission Factors'!$D$54+'Emission Factors'!$D$55*'Final Results'!M46)/10^6</f>
        <v>1.0935752352225001E-2</v>
      </c>
      <c r="N80" s="163">
        <f>(N12+N29*'Emission Factors'!$D$54+'Emission Factors'!$D$55*'Final Results'!N46)/10^6</f>
        <v>8.7143058658500014E-3</v>
      </c>
    </row>
    <row r="81" spans="1:14" x14ac:dyDescent="0.25">
      <c r="A81" s="124" t="s">
        <v>156</v>
      </c>
      <c r="B81" s="124" t="s">
        <v>157</v>
      </c>
      <c r="C81" s="125" t="s">
        <v>158</v>
      </c>
      <c r="D81" s="161" t="s">
        <v>32</v>
      </c>
      <c r="E81" s="161" t="s">
        <v>169</v>
      </c>
      <c r="F81" s="161" t="s">
        <v>161</v>
      </c>
      <c r="G81" s="125" t="s">
        <v>162</v>
      </c>
      <c r="H81" s="164" t="s">
        <v>177</v>
      </c>
      <c r="I81" s="163">
        <f>(I13+I30*'Emission Factors'!$D$54+'Emission Factors'!$D$55*'Final Results'!I47)/10^6</f>
        <v>5.554799249999999E-3</v>
      </c>
      <c r="J81" s="163">
        <f>(J13+J30*'Emission Factors'!$D$54+'Emission Factors'!$D$55*'Final Results'!J47)/10^6</f>
        <v>4.1660994375000001E-3</v>
      </c>
      <c r="K81" s="163">
        <f>(K13+K30*'Emission Factors'!$D$54+'Emission Factors'!$D$55*'Final Results'!K47)/10^6</f>
        <v>3.7031994999999996E-3</v>
      </c>
      <c r="L81" s="163">
        <f>(L13+L30*'Emission Factors'!$D$54+'Emission Factors'!$D$55*'Final Results'!L47)/10^6</f>
        <v>2.3144996874999999E-3</v>
      </c>
      <c r="M81" s="163">
        <f>(M13+M30*'Emission Factors'!$D$54+'Emission Factors'!$D$55*'Final Results'!M47)/10^6</f>
        <v>1.8515997499999998E-3</v>
      </c>
      <c r="N81" s="163">
        <f>(N13+N30*'Emission Factors'!$D$54+'Emission Factors'!$D$55*'Final Results'!N47)/10^6</f>
        <v>1.8515997499999998E-3</v>
      </c>
    </row>
    <row r="82" spans="1:14" x14ac:dyDescent="0.25">
      <c r="A82" s="124" t="s">
        <v>156</v>
      </c>
      <c r="B82" s="124" t="s">
        <v>157</v>
      </c>
      <c r="C82" s="125" t="s">
        <v>158</v>
      </c>
      <c r="D82" s="161" t="s">
        <v>38</v>
      </c>
      <c r="E82" s="161" t="s">
        <v>170</v>
      </c>
      <c r="F82" s="161" t="s">
        <v>161</v>
      </c>
      <c r="G82" s="125" t="s">
        <v>162</v>
      </c>
      <c r="H82" s="164" t="s">
        <v>177</v>
      </c>
      <c r="I82" s="163">
        <f>(I14+I31*'Emission Factors'!$D$54+'Emission Factors'!$D$55*'Final Results'!I48)/10^6</f>
        <v>13.696676182861875</v>
      </c>
      <c r="J82" s="163">
        <f>(J14+J31*'Emission Factors'!$D$54+'Emission Factors'!$D$55*'Final Results'!J48)/10^6</f>
        <v>14.009028532183123</v>
      </c>
      <c r="K82" s="163">
        <f>(K14+K31*'Emission Factors'!$D$54+'Emission Factors'!$D$55*'Final Results'!K48)/10^6</f>
        <v>14.201369201249998</v>
      </c>
      <c r="L82" s="163">
        <f>(L14+L31*'Emission Factors'!$D$54+'Emission Factors'!$D$55*'Final Results'!L48)/10^6</f>
        <v>14.815776740625003</v>
      </c>
      <c r="M82" s="163">
        <f>(M14+M31*'Emission Factors'!$D$54+'Emission Factors'!$D$55*'Final Results'!M48)/10^6</f>
        <v>16.16125147875</v>
      </c>
      <c r="N82" s="163">
        <f>(N14+N31*'Emission Factors'!$D$54+'Emission Factors'!$D$55*'Final Results'!N48)/10^6</f>
        <v>16.130142236250002</v>
      </c>
    </row>
    <row r="83" spans="1:14" x14ac:dyDescent="0.25">
      <c r="A83" s="124" t="s">
        <v>156</v>
      </c>
      <c r="B83" s="124" t="s">
        <v>157</v>
      </c>
      <c r="C83" s="125" t="s">
        <v>158</v>
      </c>
      <c r="D83" s="161" t="s">
        <v>38</v>
      </c>
      <c r="E83" s="161" t="s">
        <v>35</v>
      </c>
      <c r="F83" s="161" t="s">
        <v>161</v>
      </c>
      <c r="G83" s="125" t="s">
        <v>162</v>
      </c>
      <c r="H83" s="164" t="s">
        <v>177</v>
      </c>
      <c r="I83" s="163">
        <f>(I15+I32*'Emission Factors'!$D$54+'Emission Factors'!$D$55*'Final Results'!I49)/10^6</f>
        <v>8.9817854104980426E-3</v>
      </c>
      <c r="J83" s="163">
        <f>(J15+J32*'Emission Factors'!$D$54+'Emission Factors'!$D$55*'Final Results'!J49)/10^6</f>
        <v>6.545645437499999E-3</v>
      </c>
      <c r="K83" s="163">
        <f>(K15+K32*'Emission Factors'!$D$54+'Emission Factors'!$D$55*'Final Results'!K49)/10^6</f>
        <v>5.5597580999999993E-3</v>
      </c>
      <c r="L83" s="163">
        <f>(L15+L32*'Emission Factors'!$D$54+'Emission Factors'!$D$55*'Final Results'!L49)/10^6</f>
        <v>3.8304147374999997E-3</v>
      </c>
      <c r="M83" s="163">
        <f>(M15+M32*'Emission Factors'!$D$54+'Emission Factors'!$D$55*'Final Results'!M49)/10^6</f>
        <v>4.1374943999999995E-3</v>
      </c>
      <c r="N83" s="163">
        <f>(N15+N32*'Emission Factors'!$D$54+'Emission Factors'!$D$55*'Final Results'!N49)/10^6</f>
        <v>4.4041688437500004E-3</v>
      </c>
    </row>
    <row r="84" spans="1:14" x14ac:dyDescent="0.25">
      <c r="A84" s="124" t="s">
        <v>156</v>
      </c>
      <c r="B84" s="124" t="s">
        <v>157</v>
      </c>
      <c r="C84" s="125" t="s">
        <v>158</v>
      </c>
      <c r="D84" s="161" t="s">
        <v>100</v>
      </c>
      <c r="E84" s="161" t="s">
        <v>51</v>
      </c>
      <c r="F84" s="161" t="s">
        <v>161</v>
      </c>
      <c r="G84" s="125" t="s">
        <v>162</v>
      </c>
      <c r="H84" s="164" t="s">
        <v>177</v>
      </c>
      <c r="I84" s="163">
        <f>(I16+I33*'Emission Factors'!$D$54+'Emission Factors'!$D$55*'Final Results'!I50)/10^6</f>
        <v>1.9476292574343128</v>
      </c>
      <c r="J84" s="163">
        <f>(J16+J33*'Emission Factors'!$D$54+'Emission Factors'!$D$55*'Final Results'!J50)/10^6</f>
        <v>2.3060308876312505</v>
      </c>
      <c r="K84" s="163">
        <f>(K16+K33*'Emission Factors'!$D$54+'Emission Factors'!$D$55*'Final Results'!K50)/10^6</f>
        <v>2.2214304406124996</v>
      </c>
      <c r="L84" s="163">
        <f>(L16+L33*'Emission Factors'!$D$54+'Emission Factors'!$D$55*'Final Results'!L50)/10^6</f>
        <v>1.9006049226937498</v>
      </c>
      <c r="M84" s="163">
        <f>(M16+M33*'Emission Factors'!$D$54+'Emission Factors'!$D$55*'Final Results'!M50)/10^6</f>
        <v>1.7621443190812498</v>
      </c>
      <c r="N84" s="163">
        <f>(N16+N33*'Emission Factors'!$D$54+'Emission Factors'!$D$55*'Final Results'!N50)/10^6</f>
        <v>1.4376338452125001</v>
      </c>
    </row>
    <row r="85" spans="1:14" x14ac:dyDescent="0.25">
      <c r="A85" s="124" t="s">
        <v>156</v>
      </c>
      <c r="B85" s="124" t="s">
        <v>157</v>
      </c>
      <c r="C85" s="125" t="s">
        <v>158</v>
      </c>
      <c r="D85" s="161" t="s">
        <v>100</v>
      </c>
      <c r="E85" s="161" t="s">
        <v>106</v>
      </c>
      <c r="F85" s="161" t="s">
        <v>161</v>
      </c>
      <c r="G85" s="125" t="s">
        <v>162</v>
      </c>
      <c r="H85" s="164" t="s">
        <v>177</v>
      </c>
      <c r="I85" s="163">
        <f>(I17+I34*'Emission Factors'!$D$54+'Emission Factors'!$D$55*'Final Results'!I51)/10^6</f>
        <v>0.10816266379529234</v>
      </c>
      <c r="J85" s="163">
        <f>(J17+J34*'Emission Factors'!$D$54+'Emission Factors'!$D$55*'Final Results'!J51)/10^6</f>
        <v>5.7597373399999999E-2</v>
      </c>
      <c r="K85" s="163">
        <f>(K17+K34*'Emission Factors'!$D$54+'Emission Factors'!$D$55*'Final Results'!K51)/10^6</f>
        <v>2.1121699760000001E-2</v>
      </c>
      <c r="L85" s="163">
        <f>(L17+L34*'Emission Factors'!$D$54+'Emission Factors'!$D$55*'Final Results'!L51)/10^6</f>
        <v>1.266982444E-2</v>
      </c>
      <c r="M85" s="163">
        <f>(M17+M34*'Emission Factors'!$D$54+'Emission Factors'!$D$55*'Final Results'!M51)/10^6</f>
        <v>7.1018120599999988E-3</v>
      </c>
      <c r="N85" s="163">
        <f>(N17+N34*'Emission Factors'!$D$54+'Emission Factors'!$D$55*'Final Results'!N51)/10^6</f>
        <v>6.5106601000000002E-3</v>
      </c>
    </row>
    <row r="86" spans="1:14" x14ac:dyDescent="0.25">
      <c r="A86" s="124" t="s">
        <v>156</v>
      </c>
      <c r="B86" s="124" t="s">
        <v>157</v>
      </c>
      <c r="C86" s="125" t="s">
        <v>158</v>
      </c>
      <c r="D86" s="161" t="s">
        <v>100</v>
      </c>
      <c r="E86" s="161" t="s">
        <v>165</v>
      </c>
      <c r="F86" s="161" t="s">
        <v>161</v>
      </c>
      <c r="G86" s="125" t="s">
        <v>162</v>
      </c>
      <c r="H86" s="164" t="s">
        <v>177</v>
      </c>
      <c r="I86" s="163">
        <f>(I18+I35*'Emission Factors'!$D$54+'Emission Factors'!$D$55*'Final Results'!I52)/10^6</f>
        <v>0.81076116835853629</v>
      </c>
      <c r="J86" s="163">
        <f>(J18+J35*'Emission Factors'!$D$54+'Emission Factors'!$D$55*'Final Results'!J52)/10^6</f>
        <v>1.2169779796468754</v>
      </c>
      <c r="K86" s="163">
        <f>(K18+K35*'Emission Factors'!$D$54+'Emission Factors'!$D$55*'Final Results'!K52)/10^6</f>
        <v>1.6459267765287502</v>
      </c>
      <c r="L86" s="163">
        <f>(L18+L35*'Emission Factors'!$D$54+'Emission Factors'!$D$55*'Final Results'!L52)/10^6</f>
        <v>2.2603034217531253</v>
      </c>
      <c r="M86" s="163">
        <f>(M18+M35*'Emission Factors'!$D$54+'Emission Factors'!$D$55*'Final Results'!M52)/10^6</f>
        <v>1.4704722952193747</v>
      </c>
      <c r="N86" s="163">
        <f>(N18+N35*'Emission Factors'!$D$54+'Emission Factors'!$D$55*'Final Results'!N52)/10^6</f>
        <v>0.92840843688875008</v>
      </c>
    </row>
  </sheetData>
  <autoFilter ref="A1:N86" xr:uid="{00000000-0009-0000-0000-000002000000}"/>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T33"/>
  <sheetViews>
    <sheetView topLeftCell="A13" zoomScale="70" zoomScaleNormal="70" workbookViewId="0">
      <selection activeCell="B26" sqref="B26"/>
    </sheetView>
  </sheetViews>
  <sheetFormatPr defaultRowHeight="15.75" x14ac:dyDescent="0.25"/>
  <cols>
    <col min="1" max="1" width="29.42578125" style="32" customWidth="1"/>
    <col min="2" max="2" width="23.140625" style="32" customWidth="1"/>
    <col min="3" max="3" width="16.42578125" style="32" bestFit="1" customWidth="1"/>
    <col min="4" max="4" width="13.28515625" style="32" customWidth="1"/>
    <col min="5" max="5" width="13.140625" style="32" customWidth="1"/>
    <col min="6" max="6" width="13" style="32" customWidth="1"/>
    <col min="7" max="7" width="9.140625" style="32"/>
    <col min="8" max="8" width="21.7109375" style="32" customWidth="1"/>
    <col min="9" max="16384" width="9.140625" style="32"/>
  </cols>
  <sheetData>
    <row r="1" spans="2:20" ht="16.5" thickBot="1" x14ac:dyDescent="0.3"/>
    <row r="2" spans="2:20" x14ac:dyDescent="0.25">
      <c r="B2" s="99" t="s">
        <v>140</v>
      </c>
      <c r="C2" s="100" t="s">
        <v>52</v>
      </c>
      <c r="D2" s="101" t="s">
        <v>26</v>
      </c>
      <c r="E2" s="102" t="s">
        <v>27</v>
      </c>
      <c r="F2" s="101" t="s">
        <v>28</v>
      </c>
      <c r="G2" s="101" t="s">
        <v>29</v>
      </c>
      <c r="H2" s="101" t="s">
        <v>30</v>
      </c>
      <c r="I2" s="103" t="s">
        <v>31</v>
      </c>
    </row>
    <row r="3" spans="2:20" x14ac:dyDescent="0.25">
      <c r="B3" s="104" t="s">
        <v>0</v>
      </c>
      <c r="C3" s="105">
        <f>'Transport GHG Inventory'!N12/1000+'Transport GHG Inventory'!AB12*21/1000+'Transport GHG Inventory'!AN12*310/1000</f>
        <v>129.40566281096193</v>
      </c>
      <c r="D3" s="106">
        <f>'Transport GHG Inventory'!O12/1000+'Transport GHG Inventory'!AC12*21/1000+'Transport GHG Inventory'!AO12*310/1000</f>
        <v>144.06371868897043</v>
      </c>
      <c r="E3" s="106">
        <f>'Transport GHG Inventory'!P12/1000+'Transport GHG Inventory'!AD12*21/1000+'Transport GHG Inventory'!AP12*310/1000</f>
        <v>142.1162741829051</v>
      </c>
      <c r="F3" s="106">
        <f>'Transport GHG Inventory'!Q12/1000+'Transport GHG Inventory'!AE12*21/1000+'Transport GHG Inventory'!AQ12*310/1000</f>
        <v>156.74478594907526</v>
      </c>
      <c r="G3" s="106">
        <f>'Transport GHG Inventory'!R12/1000+'Transport GHG Inventory'!AF12*21/1000+'Transport GHG Inventory'!AR12*310/1000</f>
        <v>170.08089752061949</v>
      </c>
      <c r="H3" s="106">
        <f>'Transport GHG Inventory'!S12/1000+'Transport GHG Inventory'!AG12*21/1000+'Transport GHG Inventory'!AS12*310/1000</f>
        <v>193.07362206318427</v>
      </c>
      <c r="I3" s="107">
        <f>'Transport GHG Inventory'!T12/1000+'Transport GHG Inventory'!AH12*21/1000+'Transport GHG Inventory'!AT12*310/1000</f>
        <v>205.44774775513949</v>
      </c>
    </row>
    <row r="4" spans="2:20" x14ac:dyDescent="0.25">
      <c r="B4" s="104" t="s">
        <v>2</v>
      </c>
      <c r="C4" s="105">
        <f>'Transport GHG Inventory'!N31/1000+'Transport GHG Inventory'!AB31*21/1000+'Transport GHG Inventory'!AN31*310/1000</f>
        <v>12.414582571170001</v>
      </c>
      <c r="D4" s="106">
        <f>'Transport GHG Inventory'!O31/1000+'Transport GHG Inventory'!AC31*21/1000+'Transport GHG Inventory'!AO31*310/1000</f>
        <v>14.1588329073795</v>
      </c>
      <c r="E4" s="106">
        <f>'Transport GHG Inventory'!P31/1000+'Transport GHG Inventory'!AD31*21/1000+'Transport GHG Inventory'!AP31*310/1000</f>
        <v>13.991147839725</v>
      </c>
      <c r="F4" s="106">
        <f>'Transport GHG Inventory'!Q31/1000+'Transport GHG Inventory'!AE31*21/1000+'Transport GHG Inventory'!AQ31*310/1000</f>
        <v>14.302498672377</v>
      </c>
      <c r="G4" s="106">
        <f>'Transport GHG Inventory'!R31/1000+'Transport GHG Inventory'!AF31*21/1000+'Transport GHG Inventory'!AR31*310/1000</f>
        <v>15.016634567786999</v>
      </c>
      <c r="H4" s="106">
        <f>'Transport GHG Inventory'!S31/1000+'Transport GHG Inventory'!AG31*21/1000+'Transport GHG Inventory'!AS31*310/1000</f>
        <v>16.575204143918999</v>
      </c>
      <c r="I4" s="107">
        <f>'Transport GHG Inventory'!T31/1000+'Transport GHG Inventory'!AH31*21/1000+'Transport GHG Inventory'!AT31*310/1000</f>
        <v>16.014506816832</v>
      </c>
    </row>
    <row r="5" spans="2:20" x14ac:dyDescent="0.25">
      <c r="B5" s="104" t="s">
        <v>1</v>
      </c>
      <c r="C5" s="105">
        <f>'Transport GHG Inventory'!N23/1000+'Transport GHG Inventory'!AB23*21/1000+'Transport GHG Inventory'!AN23*310/1000</f>
        <v>6.5585640498963045</v>
      </c>
      <c r="D5" s="106">
        <f>'Transport GHG Inventory'!O23/1000+'Transport GHG Inventory'!AC23*21/1000+'Transport GHG Inventory'!AO23*310/1000</f>
        <v>7.2862343039899979</v>
      </c>
      <c r="E5" s="106">
        <f>'Transport GHG Inventory'!P23/1000+'Transport GHG Inventory'!AD23*21/1000+'Transport GHG Inventory'!AP23*310/1000</f>
        <v>7.7612769471489997</v>
      </c>
      <c r="F5" s="106">
        <f>'Transport GHG Inventory'!Q23/1000+'Transport GHG Inventory'!AE23*21/1000+'Transport GHG Inventory'!AQ23*310/1000</f>
        <v>8.094996303765198</v>
      </c>
      <c r="G5" s="106">
        <f>'Transport GHG Inventory'!R23/1000+'Transport GHG Inventory'!AF23*21/1000+'Transport GHG Inventory'!AR23*310/1000</f>
        <v>8.4875056624379006</v>
      </c>
      <c r="H5" s="106">
        <f>'Transport GHG Inventory'!S23/1000+'Transport GHG Inventory'!AG23*21/1000+'Transport GHG Inventory'!AS23*310/1000</f>
        <v>8.6932023548528008</v>
      </c>
      <c r="I5" s="107">
        <f>'Transport GHG Inventory'!T23/1000+'Transport GHG Inventory'!AH23*21/1000+'Transport GHG Inventory'!AT23*310/1000</f>
        <v>9.0802581609215007</v>
      </c>
    </row>
    <row r="6" spans="2:20" ht="16.5" thickBot="1" x14ac:dyDescent="0.3">
      <c r="B6" s="108" t="s">
        <v>3</v>
      </c>
      <c r="C6" s="126">
        <f>'Transport GHG Inventory'!N40/1000+'Transport GHG Inventory'!AB40*21/1000+'Transport GHG Inventory'!AN40*310/1000</f>
        <v>2.7166373585287382</v>
      </c>
      <c r="D6" s="127">
        <f>'Transport GHG Inventory'!O40/1000+'Transport GHG Inventory'!AC40*21/1000+'Transport GHG Inventory'!AO40*310/1000</f>
        <v>2.9270885431140998</v>
      </c>
      <c r="E6" s="127">
        <f>'Transport GHG Inventory'!P40/1000+'Transport GHG Inventory'!AD40*21/1000+'Transport GHG Inventory'!AP40*310/1000</f>
        <v>3.8115640930208001</v>
      </c>
      <c r="F6" s="127">
        <f>'Transport GHG Inventory'!Q40/1000+'Transport GHG Inventory'!AE40*21/1000+'Transport GHG Inventory'!AQ40*310/1000</f>
        <v>3.9281959524549994</v>
      </c>
      <c r="G6" s="127">
        <f>'Transport GHG Inventory'!R40/1000+'Transport GHG Inventory'!AF40*21/1000+'Transport GHG Inventory'!AR40*310/1000</f>
        <v>4.270197361017499</v>
      </c>
      <c r="H6" s="127">
        <f>'Transport GHG Inventory'!S40/1000+'Transport GHG Inventory'!AG40*21/1000+'Transport GHG Inventory'!AS40*310/1000</f>
        <v>2.9079027257965997</v>
      </c>
      <c r="I6" s="128">
        <f>'Transport GHG Inventory'!T40/1000+'Transport GHG Inventory'!AH40*21/1000+'Transport GHG Inventory'!AT40*310/1000</f>
        <v>2.2027416138540001</v>
      </c>
      <c r="J6" s="10"/>
      <c r="K6" s="10"/>
    </row>
    <row r="7" spans="2:20" ht="16.5" thickBot="1" x14ac:dyDescent="0.3">
      <c r="B7" s="109" t="s">
        <v>4</v>
      </c>
      <c r="C7" s="127">
        <f>SUM(C3:C6)</f>
        <v>151.09544679055696</v>
      </c>
      <c r="D7" s="127">
        <f t="shared" ref="D7:H7" si="0">SUM(D3:D6)</f>
        <v>168.43587444345403</v>
      </c>
      <c r="E7" s="127">
        <f t="shared" si="0"/>
        <v>167.68026306279987</v>
      </c>
      <c r="F7" s="127">
        <f t="shared" si="0"/>
        <v>183.07047687767246</v>
      </c>
      <c r="G7" s="127">
        <f t="shared" si="0"/>
        <v>197.8552351118619</v>
      </c>
      <c r="H7" s="129">
        <f t="shared" si="0"/>
        <v>221.24993128775264</v>
      </c>
      <c r="I7" s="130">
        <f t="shared" ref="I7" si="1">SUM(I3:I6)</f>
        <v>232.74525434674698</v>
      </c>
      <c r="J7" s="10"/>
      <c r="K7" s="10"/>
    </row>
    <row r="8" spans="2:20" ht="33" customHeight="1" x14ac:dyDescent="0.25">
      <c r="C8" s="10"/>
      <c r="D8" s="10"/>
      <c r="E8" s="10"/>
      <c r="F8" s="10"/>
      <c r="G8" s="10"/>
      <c r="H8" s="10"/>
      <c r="I8" s="10"/>
      <c r="J8" s="10"/>
      <c r="K8" s="10"/>
    </row>
    <row r="9" spans="2:20" ht="33" customHeight="1" x14ac:dyDescent="0.25">
      <c r="B9" s="110" t="s">
        <v>145</v>
      </c>
      <c r="C9" s="32">
        <v>2007</v>
      </c>
      <c r="D9" s="32">
        <v>2008</v>
      </c>
      <c r="E9" s="32">
        <v>2009</v>
      </c>
      <c r="F9" s="32">
        <v>2010</v>
      </c>
      <c r="G9" s="32">
        <v>2011</v>
      </c>
      <c r="H9" s="32">
        <v>2012</v>
      </c>
    </row>
    <row r="10" spans="2:20" ht="33" customHeight="1" x14ac:dyDescent="0.25">
      <c r="B10" s="32" t="str">
        <f>B3</f>
        <v xml:space="preserve">Road </v>
      </c>
      <c r="C10" s="111">
        <f>1/4*C3+3/4*D3</f>
        <v>140.39920471946829</v>
      </c>
      <c r="D10" s="111">
        <f t="shared" ref="D10:H10" si="2">1/4*D3+3/4*E3</f>
        <v>142.60313530942142</v>
      </c>
      <c r="E10" s="111">
        <f t="shared" si="2"/>
        <v>153.08765800753272</v>
      </c>
      <c r="F10" s="111">
        <f t="shared" si="2"/>
        <v>166.74686962773342</v>
      </c>
      <c r="G10" s="111">
        <f t="shared" si="2"/>
        <v>187.32544092754307</v>
      </c>
      <c r="H10" s="111">
        <f t="shared" si="2"/>
        <v>202.35421633215068</v>
      </c>
    </row>
    <row r="11" spans="2:20" ht="33" customHeight="1" x14ac:dyDescent="0.25">
      <c r="B11" s="32" t="str">
        <f t="shared" ref="B11:B13" si="3">B4</f>
        <v>Aviation</v>
      </c>
      <c r="C11" s="111">
        <f t="shared" ref="C11:H14" si="4">1/4*C4+3/4*D4</f>
        <v>13.722770323327126</v>
      </c>
      <c r="D11" s="111">
        <f t="shared" si="4"/>
        <v>14.033069106638624</v>
      </c>
      <c r="E11" s="111">
        <f t="shared" si="4"/>
        <v>14.224660964214001</v>
      </c>
      <c r="F11" s="111">
        <f t="shared" si="4"/>
        <v>14.838100593934499</v>
      </c>
      <c r="G11" s="111">
        <f t="shared" si="4"/>
        <v>16.185561749885998</v>
      </c>
      <c r="H11" s="111">
        <f t="shared" si="4"/>
        <v>16.15468114860375</v>
      </c>
    </row>
    <row r="12" spans="2:20" ht="33" customHeight="1" x14ac:dyDescent="0.25">
      <c r="B12" s="32" t="str">
        <f t="shared" si="3"/>
        <v>Rail</v>
      </c>
      <c r="C12" s="111">
        <f t="shared" si="4"/>
        <v>7.1043167404665741</v>
      </c>
      <c r="D12" s="111">
        <f t="shared" si="4"/>
        <v>7.6425162863592497</v>
      </c>
      <c r="E12" s="111">
        <f t="shared" si="4"/>
        <v>8.011566464611148</v>
      </c>
      <c r="F12" s="111">
        <f t="shared" si="4"/>
        <v>8.3893783227697245</v>
      </c>
      <c r="G12" s="111">
        <f t="shared" si="4"/>
        <v>8.6417781817490749</v>
      </c>
      <c r="H12" s="111">
        <f t="shared" si="4"/>
        <v>8.9834942094043253</v>
      </c>
    </row>
    <row r="13" spans="2:20" ht="33" customHeight="1" x14ac:dyDescent="0.25">
      <c r="B13" s="32" t="str">
        <f t="shared" si="3"/>
        <v xml:space="preserve">Navigation </v>
      </c>
      <c r="C13" s="111">
        <f t="shared" si="4"/>
        <v>2.8744757469677595</v>
      </c>
      <c r="D13" s="111">
        <f t="shared" si="4"/>
        <v>3.5904452055441247</v>
      </c>
      <c r="E13" s="111">
        <f t="shared" si="4"/>
        <v>3.8990379875964498</v>
      </c>
      <c r="F13" s="111">
        <f t="shared" si="4"/>
        <v>4.1846970088768742</v>
      </c>
      <c r="G13" s="111">
        <f t="shared" si="4"/>
        <v>3.2484763846018243</v>
      </c>
      <c r="H13" s="111">
        <f t="shared" si="4"/>
        <v>2.37903189183965</v>
      </c>
    </row>
    <row r="14" spans="2:20" ht="33" customHeight="1" x14ac:dyDescent="0.25">
      <c r="B14" s="53" t="s">
        <v>119</v>
      </c>
      <c r="C14" s="111">
        <f t="shared" si="4"/>
        <v>164.10076753022975</v>
      </c>
      <c r="D14" s="111">
        <f t="shared" si="4"/>
        <v>167.86916590796341</v>
      </c>
      <c r="E14" s="111">
        <f t="shared" si="4"/>
        <v>179.22292342395431</v>
      </c>
      <c r="F14" s="111">
        <f t="shared" si="4"/>
        <v>194.15904555331454</v>
      </c>
      <c r="G14" s="111">
        <f t="shared" si="4"/>
        <v>215.40125724377998</v>
      </c>
      <c r="H14" s="111">
        <f t="shared" si="4"/>
        <v>229.87142358199839</v>
      </c>
    </row>
    <row r="15" spans="2:20" ht="33" customHeight="1" x14ac:dyDescent="0.25"/>
    <row r="16" spans="2:20" x14ac:dyDescent="0.25">
      <c r="B16" s="53" t="s">
        <v>141</v>
      </c>
      <c r="H16" s="53" t="s">
        <v>144</v>
      </c>
      <c r="N16" s="112"/>
      <c r="O16" s="112"/>
      <c r="P16" s="112"/>
      <c r="Q16" s="112"/>
      <c r="R16" s="112"/>
      <c r="S16" s="112"/>
      <c r="T16" s="112"/>
    </row>
    <row r="17" spans="1:20" ht="47.25" x14ac:dyDescent="0.25">
      <c r="B17" s="113" t="s">
        <v>5</v>
      </c>
      <c r="C17" s="114" t="s">
        <v>6</v>
      </c>
      <c r="D17" s="114" t="s">
        <v>107</v>
      </c>
      <c r="E17" s="114" t="s">
        <v>95</v>
      </c>
      <c r="F17" s="114" t="s">
        <v>96</v>
      </c>
      <c r="G17" s="115"/>
      <c r="H17" s="114" t="str">
        <f>C17</f>
        <v xml:space="preserve">Million Tons of CO2eq </v>
      </c>
      <c r="I17" s="114" t="str">
        <f>D17</f>
        <v>000 Tons of CO2</v>
      </c>
      <c r="J17" s="114" t="str">
        <f>E17</f>
        <v>000 Tons of CH4</v>
      </c>
      <c r="K17" s="114" t="str">
        <f>F17</f>
        <v>000 Tons of N2O</v>
      </c>
      <c r="N17" s="112"/>
      <c r="O17" s="112"/>
      <c r="P17" s="112"/>
      <c r="Q17" s="112"/>
      <c r="R17" s="112"/>
      <c r="S17" s="112"/>
      <c r="T17" s="112"/>
    </row>
    <row r="18" spans="1:20" x14ac:dyDescent="0.25">
      <c r="B18" s="30" t="s">
        <v>0</v>
      </c>
      <c r="C18" s="116">
        <f>123.56</f>
        <v>123.56</v>
      </c>
      <c r="D18" s="89">
        <f>121.211*1000</f>
        <v>121211</v>
      </c>
      <c r="E18" s="116">
        <v>23</v>
      </c>
      <c r="F18" s="116">
        <v>6</v>
      </c>
      <c r="H18" s="117">
        <f>Summary!C3</f>
        <v>129.40566281096193</v>
      </c>
      <c r="I18" s="117">
        <f>'Transport GHG Inventory'!N12</f>
        <v>126942.74327697349</v>
      </c>
      <c r="J18" s="117">
        <f>'Transport GHG Inventory'!AB12</f>
        <v>21.851609287903987</v>
      </c>
      <c r="K18" s="117">
        <f>'Transport GHG Inventory'!AN12</f>
        <v>6.4646314159434164</v>
      </c>
      <c r="N18" s="112"/>
      <c r="O18" s="112"/>
      <c r="P18" s="112"/>
      <c r="Q18" s="112"/>
      <c r="R18" s="112"/>
      <c r="S18" s="112"/>
      <c r="T18" s="112"/>
    </row>
    <row r="19" spans="1:20" ht="27.75" customHeight="1" x14ac:dyDescent="0.25">
      <c r="B19" s="30" t="s">
        <v>2</v>
      </c>
      <c r="C19" s="116">
        <v>10.210000000000001</v>
      </c>
      <c r="D19" s="89">
        <f>10.122*1000</f>
        <v>10122</v>
      </c>
      <c r="E19" s="116">
        <v>0.1</v>
      </c>
      <c r="F19" s="116">
        <v>0.28000000000000003</v>
      </c>
      <c r="H19" s="117">
        <f>Summary!C4</f>
        <v>12.414582571170001</v>
      </c>
      <c r="I19" s="117">
        <f>'Transport GHG Inventory'!N31</f>
        <v>12303.69269744866</v>
      </c>
      <c r="J19" s="117">
        <f>'Transport GHG Inventory'!AB31</f>
        <v>8.8255239339402977E-2</v>
      </c>
      <c r="K19" s="117">
        <f>'Transport GHG Inventory'!AN31</f>
        <v>0.35173068933940299</v>
      </c>
      <c r="N19" s="112"/>
      <c r="O19" s="118"/>
      <c r="P19" s="118"/>
      <c r="Q19" s="112"/>
      <c r="R19" s="118"/>
      <c r="S19" s="118"/>
      <c r="T19" s="118"/>
    </row>
    <row r="20" spans="1:20" x14ac:dyDescent="0.25">
      <c r="B20" s="30" t="s">
        <v>1</v>
      </c>
      <c r="C20" s="116">
        <v>6.84</v>
      </c>
      <c r="D20" s="89">
        <f>6.109*1000</f>
        <v>6109</v>
      </c>
      <c r="E20" s="116">
        <v>0.34</v>
      </c>
      <c r="F20" s="116">
        <v>2.35</v>
      </c>
      <c r="H20" s="117">
        <f>Summary!C5</f>
        <v>6.5585640498963045</v>
      </c>
      <c r="I20" s="117">
        <f>'Transport GHG Inventory'!N23</f>
        <v>5853.1730215926136</v>
      </c>
      <c r="J20" s="117">
        <f>'Transport GHG Inventory'!AB23</f>
        <v>0.33057375427455898</v>
      </c>
      <c r="K20" s="117">
        <f>'Transport GHG Inventory'!AN23</f>
        <v>2.2530612240771775</v>
      </c>
    </row>
    <row r="21" spans="1:20" x14ac:dyDescent="0.25">
      <c r="B21" s="30" t="s">
        <v>3</v>
      </c>
      <c r="C21" s="116">
        <v>1.43</v>
      </c>
      <c r="D21" s="89">
        <f>1.416*1000</f>
        <v>1416</v>
      </c>
      <c r="E21" s="116">
        <v>0.13</v>
      </c>
      <c r="F21" s="116">
        <v>0.04</v>
      </c>
      <c r="H21" s="117">
        <f>Summary!C6</f>
        <v>2.7166373585287382</v>
      </c>
      <c r="I21" s="117">
        <f>'Transport GHG Inventory'!N40</f>
        <v>2677.3173691645002</v>
      </c>
      <c r="J21" s="117">
        <f>'Transport GHG Inventory'!AB40</f>
        <v>0.1802221160847251</v>
      </c>
      <c r="K21" s="117">
        <f>'Transport GHG Inventory'!AN40</f>
        <v>0.11463008040793227</v>
      </c>
    </row>
    <row r="22" spans="1:20" ht="16.5" thickBot="1" x14ac:dyDescent="0.3">
      <c r="B22" s="30" t="s">
        <v>4</v>
      </c>
      <c r="C22" s="116">
        <f>SUM(C18:C21)</f>
        <v>142.04000000000002</v>
      </c>
      <c r="D22" s="89">
        <f>SUM(D18:D21)</f>
        <v>138858</v>
      </c>
      <c r="E22" s="116">
        <f>SUM(E18:E21)</f>
        <v>23.57</v>
      </c>
      <c r="F22" s="116">
        <v>8.67</v>
      </c>
      <c r="H22" s="117">
        <f>Summary!C7</f>
        <v>151.09544679055696</v>
      </c>
      <c r="I22" s="117">
        <f>SUM(I18:I21)</f>
        <v>147776.92636517924</v>
      </c>
      <c r="J22" s="117">
        <f>SUM(J18:J21)</f>
        <v>22.450660397602675</v>
      </c>
      <c r="K22" s="117">
        <f>SUM(K18:K21)</f>
        <v>9.1840534097679303</v>
      </c>
    </row>
    <row r="23" spans="1:20" ht="16.5" thickTop="1" x14ac:dyDescent="0.25">
      <c r="H23" s="119">
        <f>H22/C22</f>
        <v>1.0637527935127917</v>
      </c>
    </row>
    <row r="24" spans="1:20" x14ac:dyDescent="0.25">
      <c r="A24" s="55"/>
      <c r="B24" s="55"/>
      <c r="C24" s="55"/>
      <c r="D24" s="55"/>
      <c r="E24" s="55"/>
      <c r="F24" s="55"/>
      <c r="G24" s="19"/>
      <c r="H24" s="120"/>
    </row>
    <row r="25" spans="1:20" x14ac:dyDescent="0.25">
      <c r="B25" s="53" t="s">
        <v>142</v>
      </c>
      <c r="H25" s="53" t="s">
        <v>143</v>
      </c>
    </row>
    <row r="26" spans="1:20" ht="47.25" x14ac:dyDescent="0.25">
      <c r="B26" s="113" t="s">
        <v>5</v>
      </c>
      <c r="C26" s="114" t="s">
        <v>6</v>
      </c>
      <c r="D26" s="114" t="s">
        <v>107</v>
      </c>
      <c r="E26" s="114" t="s">
        <v>95</v>
      </c>
      <c r="F26" s="114" t="s">
        <v>96</v>
      </c>
      <c r="G26" s="115"/>
      <c r="H26" s="114" t="str">
        <f>C26</f>
        <v xml:space="preserve">Million Tons of CO2eq </v>
      </c>
      <c r="I26" s="114" t="str">
        <f>D26</f>
        <v>000 Tons of CO2</v>
      </c>
      <c r="J26" s="114" t="str">
        <f>E26</f>
        <v>000 Tons of CH4</v>
      </c>
      <c r="K26" s="114" t="str">
        <f>F26</f>
        <v>000 Tons of N2O</v>
      </c>
    </row>
    <row r="27" spans="1:20" x14ac:dyDescent="0.25">
      <c r="B27" s="30" t="s">
        <v>0</v>
      </c>
      <c r="C27" s="121">
        <v>164.31787</v>
      </c>
      <c r="D27" s="121">
        <v>161503.70000000001</v>
      </c>
      <c r="E27" s="121">
        <v>24.77</v>
      </c>
      <c r="F27" s="121">
        <v>7.4</v>
      </c>
      <c r="H27" s="117">
        <f>Summary!F3</f>
        <v>156.74478594907526</v>
      </c>
      <c r="I27" s="117">
        <f>'Transport GHG Inventory'!Q12</f>
        <v>153692.84573078912</v>
      </c>
      <c r="J27" s="117">
        <f>'Transport GHG Inventory'!AE12</f>
        <v>30.122502179919422</v>
      </c>
      <c r="K27" s="117">
        <f>'Transport GHG Inventory'!AQ12</f>
        <v>7.804411846799427</v>
      </c>
    </row>
    <row r="28" spans="1:20" x14ac:dyDescent="0.25">
      <c r="B28" s="30" t="s">
        <v>2</v>
      </c>
      <c r="C28" s="121">
        <v>12.48729</v>
      </c>
      <c r="D28" s="121">
        <v>12376.9</v>
      </c>
      <c r="E28" s="121">
        <v>0.09</v>
      </c>
      <c r="F28" s="121">
        <v>0.35</v>
      </c>
      <c r="H28" s="117">
        <f>Summary!F4</f>
        <v>14.302498672377</v>
      </c>
      <c r="I28" s="117">
        <f>'Transport GHG Inventory'!Q31</f>
        <v>14174.778573</v>
      </c>
      <c r="J28" s="117">
        <f>'Transport GHG Inventory'!AE31</f>
        <v>0.10149626699999999</v>
      </c>
      <c r="K28" s="117">
        <f>'Transport GHG Inventory'!AQ31</f>
        <v>0.405124767</v>
      </c>
    </row>
    <row r="29" spans="1:20" x14ac:dyDescent="0.25">
      <c r="B29" s="30" t="s">
        <v>1</v>
      </c>
      <c r="C29" s="121">
        <v>7.5031999999999996</v>
      </c>
      <c r="D29" s="121">
        <v>6693.1</v>
      </c>
      <c r="E29" s="121">
        <v>0.38</v>
      </c>
      <c r="F29" s="121">
        <v>2.58</v>
      </c>
      <c r="H29" s="117">
        <f>Summary!F5</f>
        <v>8.094996303765198</v>
      </c>
      <c r="I29" s="117">
        <f>'Transport GHG Inventory'!Q23</f>
        <v>7224.5369261199985</v>
      </c>
      <c r="J29" s="117">
        <f>'Transport GHG Inventory'!AE23</f>
        <v>0.40686722040000006</v>
      </c>
      <c r="K29" s="117">
        <f>'Transport GHG Inventory'!AQ23</f>
        <v>2.7803715032799996</v>
      </c>
    </row>
    <row r="30" spans="1:20" x14ac:dyDescent="0.25">
      <c r="B30" s="30" t="s">
        <v>3</v>
      </c>
      <c r="C30" s="121">
        <v>3.70059</v>
      </c>
      <c r="D30" s="121">
        <v>3653.99</v>
      </c>
      <c r="E30" s="121">
        <v>0.28000000000000003</v>
      </c>
      <c r="F30" s="121">
        <v>0.13</v>
      </c>
      <c r="H30" s="117">
        <f>Summary!F6</f>
        <v>3.9281959524549994</v>
      </c>
      <c r="I30" s="117">
        <f>'Transport GHG Inventory'!Q40</f>
        <v>3873.8870795999992</v>
      </c>
      <c r="J30" s="117">
        <f>'Transport GHG Inventory'!AE40</f>
        <v>0.27052748499999996</v>
      </c>
      <c r="K30" s="117">
        <f>'Transport GHG Inventory'!AQ40</f>
        <v>0.156863857</v>
      </c>
    </row>
    <row r="31" spans="1:20" ht="16.5" thickBot="1" x14ac:dyDescent="0.3">
      <c r="B31" s="30" t="s">
        <v>4</v>
      </c>
      <c r="C31" s="121">
        <f>SUM(C27:C30)</f>
        <v>188.00895</v>
      </c>
      <c r="D31" s="121">
        <f>SUM(D27:D30)</f>
        <v>184227.69</v>
      </c>
      <c r="E31" s="121">
        <f>SUM(E27:E30)</f>
        <v>25.52</v>
      </c>
      <c r="F31" s="121">
        <f>SUM(F27:F30)</f>
        <v>10.46</v>
      </c>
      <c r="H31" s="117">
        <f>Summary!F7</f>
        <v>183.07047687767246</v>
      </c>
      <c r="I31" s="117">
        <f>SUM(I27:I30)</f>
        <v>178966.04830950912</v>
      </c>
      <c r="J31" s="117">
        <f>SUM(J27:J30)</f>
        <v>30.901393152319422</v>
      </c>
      <c r="K31" s="117">
        <f>SUM(K27:K30)</f>
        <v>11.146771974079426</v>
      </c>
    </row>
    <row r="32" spans="1:20" ht="17.25" thickTop="1" thickBot="1" x14ac:dyDescent="0.3">
      <c r="H32" s="122">
        <f>H31/C31</f>
        <v>0.97373277643257128</v>
      </c>
    </row>
    <row r="33" ht="16.5" thickTop="1" x14ac:dyDescent="0.25"/>
  </sheetData>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U105"/>
  <sheetViews>
    <sheetView topLeftCell="A106" zoomScale="115" zoomScaleNormal="115" workbookViewId="0">
      <selection activeCell="V112" sqref="V112"/>
    </sheetView>
  </sheetViews>
  <sheetFormatPr defaultColWidth="9.140625" defaultRowHeight="15.75" x14ac:dyDescent="0.25"/>
  <cols>
    <col min="1" max="1" width="9.140625" style="10"/>
    <col min="2" max="2" width="32.5703125" style="10" customWidth="1"/>
    <col min="3" max="10" width="9.140625" style="10"/>
    <col min="11" max="11" width="11" style="10" bestFit="1" customWidth="1"/>
    <col min="12" max="13" width="9.140625" style="10"/>
    <col min="14" max="14" width="19.28515625" style="10" bestFit="1" customWidth="1"/>
    <col min="15" max="16384" width="9.140625" style="10"/>
  </cols>
  <sheetData>
    <row r="2" spans="1:12" x14ac:dyDescent="0.25">
      <c r="A2" s="9" t="s">
        <v>79</v>
      </c>
      <c r="C2" s="9"/>
      <c r="D2" s="9"/>
    </row>
    <row r="5" spans="1:12" x14ac:dyDescent="0.25">
      <c r="B5" s="11" t="s">
        <v>33</v>
      </c>
      <c r="C5" s="12" t="s">
        <v>52</v>
      </c>
      <c r="D5" s="12" t="s">
        <v>26</v>
      </c>
      <c r="E5" s="12" t="s">
        <v>27</v>
      </c>
      <c r="F5" s="12" t="s">
        <v>28</v>
      </c>
      <c r="G5" s="12" t="s">
        <v>29</v>
      </c>
      <c r="H5" s="12" t="s">
        <v>30</v>
      </c>
      <c r="I5" s="12" t="s">
        <v>31</v>
      </c>
    </row>
    <row r="6" spans="1:12" x14ac:dyDescent="0.25">
      <c r="B6" s="13" t="s">
        <v>101</v>
      </c>
      <c r="C6" s="14">
        <f>D6/$D$8*$C$8</f>
        <v>179.1667981915331</v>
      </c>
      <c r="D6" s="12">
        <v>200.9</v>
      </c>
      <c r="E6" s="12">
        <v>181.16</v>
      </c>
      <c r="F6" s="12">
        <v>224.52</v>
      </c>
      <c r="G6" s="12">
        <v>223.01</v>
      </c>
      <c r="H6" s="12">
        <v>222.84</v>
      </c>
      <c r="I6" s="12">
        <v>214</v>
      </c>
    </row>
    <row r="7" spans="1:12" x14ac:dyDescent="0.25">
      <c r="B7" s="13" t="s">
        <v>32</v>
      </c>
      <c r="C7" s="14">
        <f>D7/$D$8*$C$8</f>
        <v>0.83831154952733244</v>
      </c>
      <c r="D7" s="12">
        <v>0.94</v>
      </c>
      <c r="E7" s="12">
        <v>0.79</v>
      </c>
      <c r="F7" s="12">
        <v>0.76</v>
      </c>
      <c r="G7" s="12">
        <v>0.93</v>
      </c>
      <c r="H7" s="12">
        <v>0.84</v>
      </c>
      <c r="I7" s="12">
        <v>0.78</v>
      </c>
    </row>
    <row r="8" spans="1:12" x14ac:dyDescent="0.25">
      <c r="B8" s="11" t="s">
        <v>55</v>
      </c>
      <c r="C8" s="15">
        <f>G88</f>
        <v>180.00510974106044</v>
      </c>
      <c r="D8" s="12">
        <f>SUM(D6:D7)</f>
        <v>201.84</v>
      </c>
      <c r="E8" s="12">
        <f t="shared" ref="E8:I8" si="0">SUM(E6:E7)</f>
        <v>181.95</v>
      </c>
      <c r="F8" s="12">
        <f t="shared" si="0"/>
        <v>225.28</v>
      </c>
      <c r="G8" s="12">
        <f t="shared" si="0"/>
        <v>223.94</v>
      </c>
      <c r="H8" s="12">
        <f t="shared" si="0"/>
        <v>223.68</v>
      </c>
      <c r="I8" s="12">
        <f t="shared" si="0"/>
        <v>214.78</v>
      </c>
    </row>
    <row r="11" spans="1:12" x14ac:dyDescent="0.25">
      <c r="B11" s="11" t="s">
        <v>37</v>
      </c>
      <c r="C11" s="12" t="s">
        <v>52</v>
      </c>
      <c r="D11" s="12" t="s">
        <v>26</v>
      </c>
      <c r="E11" s="12" t="s">
        <v>27</v>
      </c>
      <c r="F11" s="12" t="s">
        <v>28</v>
      </c>
      <c r="G11" s="12" t="s">
        <v>29</v>
      </c>
      <c r="H11" s="12" t="s">
        <v>30</v>
      </c>
      <c r="I11" s="12" t="s">
        <v>31</v>
      </c>
    </row>
    <row r="12" spans="1:12" x14ac:dyDescent="0.25">
      <c r="B12" s="13" t="s">
        <v>34</v>
      </c>
      <c r="C12" s="14">
        <f>D12/$D$17*$C$17</f>
        <v>2110.5778665380017</v>
      </c>
      <c r="D12" s="12">
        <v>2345.42</v>
      </c>
      <c r="E12" s="12">
        <v>2379.4899999999998</v>
      </c>
      <c r="F12" s="12">
        <v>2434.27</v>
      </c>
      <c r="G12" s="12">
        <v>2483.41</v>
      </c>
      <c r="H12" s="12">
        <v>2558.39</v>
      </c>
      <c r="I12" s="12">
        <v>2207.17</v>
      </c>
    </row>
    <row r="13" spans="1:12" x14ac:dyDescent="0.25">
      <c r="B13" s="13" t="s">
        <v>38</v>
      </c>
      <c r="C13" s="14">
        <f>D13/$D$17*$C$17</f>
        <v>2.5646352975728464</v>
      </c>
      <c r="D13" s="12">
        <v>2.85</v>
      </c>
      <c r="E13" s="12">
        <v>1.75</v>
      </c>
      <c r="F13" s="12">
        <v>1.71</v>
      </c>
      <c r="G13" s="12">
        <v>1.01</v>
      </c>
      <c r="H13" s="12">
        <v>1.37</v>
      </c>
      <c r="I13" s="12">
        <v>1.36</v>
      </c>
    </row>
    <row r="14" spans="1:12" x14ac:dyDescent="0.25">
      <c r="B14" s="13" t="s">
        <v>39</v>
      </c>
      <c r="C14" s="14">
        <f>D14/$D$17*$C$17</f>
        <v>556.12091715790143</v>
      </c>
      <c r="D14" s="12">
        <v>618</v>
      </c>
      <c r="E14" s="12">
        <v>745.21</v>
      </c>
      <c r="F14" s="12">
        <v>667.91</v>
      </c>
      <c r="G14" s="12">
        <v>561.34</v>
      </c>
      <c r="H14" s="12">
        <v>539.75</v>
      </c>
      <c r="I14" s="12">
        <v>413.09</v>
      </c>
    </row>
    <row r="15" spans="1:12" x14ac:dyDescent="0.25">
      <c r="B15" s="13" t="s">
        <v>32</v>
      </c>
      <c r="C15" s="14">
        <f>D15/$D$17*$C$17</f>
        <v>1831.9234924164552</v>
      </c>
      <c r="D15" s="12">
        <v>2035.76</v>
      </c>
      <c r="E15" s="12">
        <v>2166.17</v>
      </c>
      <c r="F15" s="12">
        <v>2260.6799999999998</v>
      </c>
      <c r="G15" s="12">
        <v>2370.88</v>
      </c>
      <c r="H15" s="12">
        <v>2429.2600000000002</v>
      </c>
      <c r="I15" s="12">
        <v>2538.31</v>
      </c>
    </row>
    <row r="16" spans="1:12" x14ac:dyDescent="0.25">
      <c r="B16" s="16" t="s">
        <v>129</v>
      </c>
      <c r="C16" s="17">
        <f>42896*95.4%*65.1%*(73.7/70)</f>
        <v>28048.885381439995</v>
      </c>
      <c r="D16" s="17">
        <f>45490*(65.2%)*(73.7/70)</f>
        <v>31227.195371428574</v>
      </c>
      <c r="E16" s="17">
        <f>43196*(65.2%)*(73.7/70)</f>
        <v>29652.449577142859</v>
      </c>
      <c r="F16" s="17">
        <f>47057*(65.2%)*(73.7/70)</f>
        <v>32302.88266857143</v>
      </c>
      <c r="G16" s="17">
        <f>50874*(65.3%)*(73.6/70)</f>
        <v>34929.216274285711</v>
      </c>
      <c r="H16" s="17">
        <f>55478*73.6%</f>
        <v>40831.807999999997</v>
      </c>
      <c r="I16" s="17">
        <f>60341*73.6%</f>
        <v>44410.976000000002</v>
      </c>
      <c r="L16" s="18"/>
    </row>
    <row r="17" spans="2:9" x14ac:dyDescent="0.25">
      <c r="B17" s="11" t="s">
        <v>136</v>
      </c>
      <c r="C17" s="15">
        <f>G84</f>
        <v>4501.1869114099309</v>
      </c>
      <c r="D17" s="12">
        <f t="shared" ref="D17:I17" si="1">SUM(D12:D15)</f>
        <v>5002.03</v>
      </c>
      <c r="E17" s="12">
        <f t="shared" si="1"/>
        <v>5292.62</v>
      </c>
      <c r="F17" s="12">
        <f t="shared" si="1"/>
        <v>5364.57</v>
      </c>
      <c r="G17" s="12">
        <f t="shared" si="1"/>
        <v>5416.64</v>
      </c>
      <c r="H17" s="12">
        <f t="shared" si="1"/>
        <v>5528.77</v>
      </c>
      <c r="I17" s="12">
        <f t="shared" si="1"/>
        <v>5159.93</v>
      </c>
    </row>
    <row r="20" spans="2:9" x14ac:dyDescent="0.25">
      <c r="B20" s="11" t="s">
        <v>40</v>
      </c>
      <c r="C20" s="12" t="s">
        <v>52</v>
      </c>
      <c r="D20" s="12" t="s">
        <v>26</v>
      </c>
      <c r="E20" s="12" t="s">
        <v>27</v>
      </c>
      <c r="F20" s="12" t="s">
        <v>28</v>
      </c>
      <c r="G20" s="12" t="s">
        <v>29</v>
      </c>
      <c r="H20" s="12" t="s">
        <v>30</v>
      </c>
      <c r="I20" s="12" t="s">
        <v>31</v>
      </c>
    </row>
    <row r="21" spans="2:9" x14ac:dyDescent="0.25">
      <c r="B21" s="13" t="s">
        <v>34</v>
      </c>
      <c r="C21" s="12">
        <f>D21/$D$24*$C$24</f>
        <v>0</v>
      </c>
      <c r="D21" s="12">
        <v>0</v>
      </c>
      <c r="E21" s="12">
        <v>0</v>
      </c>
      <c r="F21" s="12">
        <v>0</v>
      </c>
      <c r="G21" s="12">
        <v>0</v>
      </c>
      <c r="H21" s="12">
        <v>0.01</v>
      </c>
      <c r="I21" s="12">
        <v>0.02</v>
      </c>
    </row>
    <row r="22" spans="2:9" x14ac:dyDescent="0.25">
      <c r="B22" s="13" t="s">
        <v>39</v>
      </c>
      <c r="C22" s="14">
        <f t="shared" ref="C22:C23" si="2">D22/$D$24*$C$24</f>
        <v>35.827286356821588</v>
      </c>
      <c r="D22" s="12">
        <v>33.19</v>
      </c>
      <c r="E22" s="12">
        <v>12.97</v>
      </c>
      <c r="F22" s="12">
        <v>4.49</v>
      </c>
      <c r="G22" s="12">
        <v>3.79</v>
      </c>
      <c r="H22" s="12">
        <v>1.7</v>
      </c>
      <c r="I22" s="12">
        <v>2.15</v>
      </c>
    </row>
    <row r="23" spans="2:9" x14ac:dyDescent="0.25">
      <c r="B23" s="13" t="s">
        <v>32</v>
      </c>
      <c r="C23" s="14">
        <f t="shared" si="2"/>
        <v>2.5367316341829085</v>
      </c>
      <c r="D23" s="12">
        <v>2.35</v>
      </c>
      <c r="E23" s="12">
        <v>2.13</v>
      </c>
      <c r="F23" s="12">
        <v>1.78</v>
      </c>
      <c r="G23" s="12">
        <v>1.1200000000000001</v>
      </c>
      <c r="H23" s="12">
        <v>0.83</v>
      </c>
      <c r="I23" s="12">
        <v>0.9</v>
      </c>
    </row>
    <row r="24" spans="2:9" x14ac:dyDescent="0.25">
      <c r="B24" s="11" t="s">
        <v>53</v>
      </c>
      <c r="C24" s="15">
        <f>G85</f>
        <v>38.364017991004495</v>
      </c>
      <c r="D24" s="12">
        <f>SUM(D21:D23)</f>
        <v>35.54</v>
      </c>
      <c r="E24" s="12">
        <f t="shared" ref="E24:I24" si="3">SUM(E21:E23)</f>
        <v>15.100000000000001</v>
      </c>
      <c r="F24" s="12">
        <f t="shared" si="3"/>
        <v>6.2700000000000005</v>
      </c>
      <c r="G24" s="12">
        <f t="shared" si="3"/>
        <v>4.91</v>
      </c>
      <c r="H24" s="12">
        <f t="shared" si="3"/>
        <v>2.54</v>
      </c>
      <c r="I24" s="12">
        <f t="shared" si="3"/>
        <v>3.07</v>
      </c>
    </row>
    <row r="27" spans="2:9" x14ac:dyDescent="0.25">
      <c r="B27" s="11" t="s">
        <v>41</v>
      </c>
      <c r="C27" s="12" t="s">
        <v>52</v>
      </c>
      <c r="D27" s="12" t="s">
        <v>26</v>
      </c>
      <c r="E27" s="12" t="s">
        <v>27</v>
      </c>
      <c r="F27" s="12" t="s">
        <v>28</v>
      </c>
      <c r="G27" s="12" t="s">
        <v>29</v>
      </c>
      <c r="H27" s="12" t="s">
        <v>30</v>
      </c>
      <c r="I27" s="12" t="s">
        <v>31</v>
      </c>
    </row>
    <row r="28" spans="2:9" x14ac:dyDescent="0.25">
      <c r="B28" s="13" t="s">
        <v>34</v>
      </c>
      <c r="C28" s="14">
        <f>D28/$D$31*$C$31</f>
        <v>53.621971697116919</v>
      </c>
      <c r="D28" s="12">
        <v>54.85</v>
      </c>
      <c r="E28" s="12">
        <v>33.53</v>
      </c>
      <c r="F28" s="12">
        <v>0.22</v>
      </c>
      <c r="G28" s="12">
        <v>0.09</v>
      </c>
      <c r="H28" s="12">
        <v>0.67</v>
      </c>
      <c r="I28" s="12">
        <v>1.35</v>
      </c>
    </row>
    <row r="29" spans="2:9" x14ac:dyDescent="0.25">
      <c r="B29" s="13" t="s">
        <v>39</v>
      </c>
      <c r="C29" s="14">
        <f t="shared" ref="C29:C30" si="4">D29/$D$31*$C$31</f>
        <v>254.34509346287894</v>
      </c>
      <c r="D29" s="12">
        <v>260.17</v>
      </c>
      <c r="E29" s="12">
        <v>431.06</v>
      </c>
      <c r="F29" s="12">
        <v>556.6</v>
      </c>
      <c r="G29" s="12">
        <v>776.15</v>
      </c>
      <c r="H29" s="12">
        <v>366.92</v>
      </c>
      <c r="I29" s="12">
        <v>272.7</v>
      </c>
    </row>
    <row r="30" spans="2:9" x14ac:dyDescent="0.25">
      <c r="B30" s="13" t="s">
        <v>32</v>
      </c>
      <c r="C30" s="14">
        <f t="shared" si="4"/>
        <v>0</v>
      </c>
      <c r="D30" s="12">
        <v>0</v>
      </c>
      <c r="E30" s="12">
        <v>3.95</v>
      </c>
      <c r="F30" s="12">
        <v>3.12</v>
      </c>
      <c r="G30" s="12">
        <v>3.89</v>
      </c>
      <c r="H30" s="12">
        <v>3.38</v>
      </c>
      <c r="I30" s="12">
        <v>2.6</v>
      </c>
    </row>
    <row r="31" spans="2:9" x14ac:dyDescent="0.25">
      <c r="B31" s="16" t="s">
        <v>54</v>
      </c>
      <c r="C31" s="15">
        <f>G87</f>
        <v>307.96706515999585</v>
      </c>
      <c r="D31" s="12">
        <f>SUM(D28:D30)</f>
        <v>315.02000000000004</v>
      </c>
      <c r="E31" s="12">
        <f t="shared" ref="E31:I31" si="5">SUM(E28:E30)</f>
        <v>468.54</v>
      </c>
      <c r="F31" s="12">
        <f t="shared" si="5"/>
        <v>559.94000000000005</v>
      </c>
      <c r="G31" s="12">
        <f t="shared" si="5"/>
        <v>780.13</v>
      </c>
      <c r="H31" s="12">
        <f t="shared" si="5"/>
        <v>370.97</v>
      </c>
      <c r="I31" s="12">
        <f t="shared" si="5"/>
        <v>276.65000000000003</v>
      </c>
    </row>
    <row r="32" spans="2:9" x14ac:dyDescent="0.25">
      <c r="B32" s="19"/>
      <c r="C32" s="19"/>
      <c r="D32" s="19"/>
      <c r="E32" s="19"/>
      <c r="F32" s="19"/>
      <c r="G32" s="19"/>
    </row>
    <row r="34" spans="1:9" x14ac:dyDescent="0.25">
      <c r="A34" s="9" t="s">
        <v>42</v>
      </c>
    </row>
    <row r="36" spans="1:9" x14ac:dyDescent="0.25">
      <c r="B36" s="11" t="s">
        <v>45</v>
      </c>
      <c r="C36" s="12" t="s">
        <v>52</v>
      </c>
      <c r="D36" s="12" t="s">
        <v>26</v>
      </c>
      <c r="E36" s="20" t="s">
        <v>27</v>
      </c>
      <c r="F36" s="20" t="s">
        <v>28</v>
      </c>
      <c r="G36" s="20" t="s">
        <v>29</v>
      </c>
      <c r="H36" s="20" t="s">
        <v>30</v>
      </c>
      <c r="I36" s="20" t="s">
        <v>31</v>
      </c>
    </row>
    <row r="37" spans="1:9" x14ac:dyDescent="0.25">
      <c r="B37" s="13" t="s">
        <v>43</v>
      </c>
      <c r="C37" s="12">
        <v>12.3</v>
      </c>
      <c r="D37" s="12">
        <v>33.799999999999997</v>
      </c>
      <c r="E37" s="12">
        <v>127.1</v>
      </c>
      <c r="F37" s="12">
        <v>37.299999999999997</v>
      </c>
      <c r="G37" s="12">
        <v>85.7</v>
      </c>
      <c r="H37" s="12">
        <v>113</v>
      </c>
      <c r="I37" s="12">
        <v>193.6</v>
      </c>
    </row>
    <row r="38" spans="1:9" x14ac:dyDescent="0.25">
      <c r="B38" s="13" t="s">
        <v>35</v>
      </c>
      <c r="C38" s="12">
        <v>2.2999999999999998</v>
      </c>
      <c r="D38" s="12">
        <v>14.9</v>
      </c>
      <c r="E38" s="12">
        <v>17</v>
      </c>
      <c r="F38" s="12">
        <v>94.7</v>
      </c>
      <c r="G38" s="12">
        <v>16.600000000000001</v>
      </c>
      <c r="H38" s="12">
        <v>8.1</v>
      </c>
      <c r="I38" s="12">
        <v>6.8</v>
      </c>
    </row>
    <row r="39" spans="1:9" x14ac:dyDescent="0.25">
      <c r="B39" s="13" t="s">
        <v>44</v>
      </c>
      <c r="C39" s="12">
        <v>1.4</v>
      </c>
      <c r="D39" s="12">
        <v>0.1</v>
      </c>
      <c r="E39" s="12">
        <v>1.3</v>
      </c>
      <c r="F39" s="12">
        <v>0.3</v>
      </c>
      <c r="G39" s="12">
        <v>0</v>
      </c>
      <c r="H39" s="12">
        <v>0</v>
      </c>
      <c r="I39" s="12">
        <v>0</v>
      </c>
    </row>
    <row r="42" spans="1:9" x14ac:dyDescent="0.25">
      <c r="B42" s="11" t="s">
        <v>46</v>
      </c>
      <c r="C42" s="12" t="s">
        <v>52</v>
      </c>
      <c r="D42" s="12" t="s">
        <v>26</v>
      </c>
      <c r="E42" s="20" t="s">
        <v>27</v>
      </c>
      <c r="F42" s="20" t="s">
        <v>28</v>
      </c>
      <c r="G42" s="20" t="s">
        <v>29</v>
      </c>
      <c r="H42" s="20" t="s">
        <v>30</v>
      </c>
      <c r="I42" s="20" t="s">
        <v>31</v>
      </c>
    </row>
    <row r="43" spans="1:9" x14ac:dyDescent="0.25">
      <c r="B43" s="13" t="s">
        <v>43</v>
      </c>
      <c r="C43" s="12">
        <v>264.8</v>
      </c>
      <c r="D43" s="12">
        <v>353.4</v>
      </c>
      <c r="E43" s="12">
        <v>362.4</v>
      </c>
      <c r="F43" s="12">
        <v>553.70000000000005</v>
      </c>
      <c r="G43" s="12">
        <v>783.6</v>
      </c>
      <c r="H43" s="12">
        <v>345.6</v>
      </c>
      <c r="I43" s="12">
        <v>141.69999999999999</v>
      </c>
    </row>
    <row r="44" spans="1:9" x14ac:dyDescent="0.25">
      <c r="B44" s="13" t="s">
        <v>35</v>
      </c>
      <c r="C44" s="12">
        <v>239.4</v>
      </c>
      <c r="D44" s="12">
        <v>23.4</v>
      </c>
      <c r="E44" s="12">
        <v>586.1</v>
      </c>
      <c r="F44" s="12">
        <v>503.5</v>
      </c>
      <c r="G44" s="12">
        <v>404.2</v>
      </c>
      <c r="H44" s="12">
        <v>336.4</v>
      </c>
      <c r="I44" s="12">
        <v>200.5</v>
      </c>
    </row>
    <row r="45" spans="1:9" x14ac:dyDescent="0.25">
      <c r="B45" s="13" t="s">
        <v>44</v>
      </c>
      <c r="C45" s="12">
        <v>48.8</v>
      </c>
      <c r="D45" s="12">
        <v>39.700000000000003</v>
      </c>
      <c r="E45" s="12">
        <v>17.5</v>
      </c>
      <c r="F45" s="12">
        <v>6.5</v>
      </c>
      <c r="G45" s="12">
        <v>4.7</v>
      </c>
      <c r="H45" s="12">
        <v>2.4</v>
      </c>
      <c r="I45" s="12">
        <v>2.6</v>
      </c>
    </row>
    <row r="48" spans="1:9" x14ac:dyDescent="0.25">
      <c r="A48" s="9" t="s">
        <v>50</v>
      </c>
    </row>
    <row r="50" spans="2:9" x14ac:dyDescent="0.25">
      <c r="B50" s="12"/>
      <c r="C50" s="12" t="s">
        <v>52</v>
      </c>
      <c r="D50" s="12" t="s">
        <v>26</v>
      </c>
      <c r="E50" s="21" t="s">
        <v>27</v>
      </c>
      <c r="F50" s="21" t="s">
        <v>28</v>
      </c>
      <c r="G50" s="21" t="s">
        <v>29</v>
      </c>
      <c r="H50" s="21" t="s">
        <v>30</v>
      </c>
      <c r="I50" s="21" t="s">
        <v>31</v>
      </c>
    </row>
    <row r="51" spans="2:9" x14ac:dyDescent="0.25">
      <c r="B51" s="12" t="s">
        <v>48</v>
      </c>
      <c r="C51" s="12">
        <v>9285</v>
      </c>
      <c r="D51" s="15">
        <v>10331.959999999999</v>
      </c>
      <c r="E51" s="12">
        <v>11258</v>
      </c>
      <c r="F51" s="12">
        <v>12818</v>
      </c>
      <c r="G51" s="12">
        <v>14194</v>
      </c>
      <c r="H51" s="12">
        <v>14992</v>
      </c>
      <c r="I51" s="12">
        <v>15744</v>
      </c>
    </row>
    <row r="52" spans="2:9" x14ac:dyDescent="0.25">
      <c r="B52" s="12" t="s">
        <v>49</v>
      </c>
      <c r="C52" s="12">
        <v>3983</v>
      </c>
      <c r="D52" s="12">
        <v>4542.6899999999996</v>
      </c>
      <c r="E52" s="12">
        <v>4490</v>
      </c>
      <c r="F52" s="12">
        <v>4590</v>
      </c>
      <c r="G52" s="12">
        <v>4820</v>
      </c>
      <c r="H52" s="12">
        <v>5320</v>
      </c>
      <c r="I52" s="12">
        <v>5140</v>
      </c>
    </row>
    <row r="54" spans="2:9" s="23" customFormat="1" x14ac:dyDescent="0.25">
      <c r="B54" s="22" t="s">
        <v>36</v>
      </c>
      <c r="C54" s="22"/>
      <c r="D54" s="22"/>
      <c r="E54" s="22"/>
      <c r="F54" s="22"/>
      <c r="G54" s="22"/>
      <c r="H54" s="22"/>
    </row>
    <row r="55" spans="2:9" x14ac:dyDescent="0.25">
      <c r="B55" s="19"/>
    </row>
    <row r="56" spans="2:9" x14ac:dyDescent="0.25">
      <c r="B56" s="24" t="s">
        <v>77</v>
      </c>
    </row>
    <row r="57" spans="2:9" x14ac:dyDescent="0.25">
      <c r="B57" s="24" t="s">
        <v>78</v>
      </c>
    </row>
    <row r="58" spans="2:9" x14ac:dyDescent="0.25">
      <c r="B58" s="24" t="s">
        <v>80</v>
      </c>
    </row>
    <row r="59" spans="2:9" x14ac:dyDescent="0.25">
      <c r="B59" s="24" t="s">
        <v>82</v>
      </c>
    </row>
    <row r="60" spans="2:9" s="26" customFormat="1" x14ac:dyDescent="0.25">
      <c r="B60" s="25"/>
    </row>
    <row r="61" spans="2:9" x14ac:dyDescent="0.25">
      <c r="B61" s="24"/>
    </row>
    <row r="63" spans="2:9" x14ac:dyDescent="0.25">
      <c r="B63" s="11" t="s">
        <v>75</v>
      </c>
      <c r="C63" s="21" t="s">
        <v>52</v>
      </c>
      <c r="D63" s="21" t="s">
        <v>26</v>
      </c>
      <c r="E63" s="21" t="s">
        <v>27</v>
      </c>
      <c r="F63" s="21" t="s">
        <v>28</v>
      </c>
      <c r="G63" s="21" t="s">
        <v>29</v>
      </c>
      <c r="H63" s="21" t="s">
        <v>30</v>
      </c>
      <c r="I63" s="21" t="s">
        <v>31</v>
      </c>
    </row>
    <row r="64" spans="2:9" x14ac:dyDescent="0.25">
      <c r="B64" s="13" t="s">
        <v>32</v>
      </c>
      <c r="C64" s="12">
        <v>3.0000000000000001E-3</v>
      </c>
      <c r="D64" s="12">
        <v>3.0000000000000001E-3</v>
      </c>
      <c r="E64" s="12">
        <v>2E-3</v>
      </c>
      <c r="F64" s="12">
        <v>2E-3</v>
      </c>
      <c r="G64" s="12">
        <v>1E-3</v>
      </c>
      <c r="H64" s="12">
        <v>1E-3</v>
      </c>
      <c r="I64" s="12">
        <v>1E-3</v>
      </c>
    </row>
    <row r="66" spans="2:9" s="23" customFormat="1" x14ac:dyDescent="0.25">
      <c r="B66" s="22" t="s">
        <v>36</v>
      </c>
      <c r="C66" s="22"/>
      <c r="D66" s="22"/>
      <c r="E66" s="22"/>
      <c r="F66" s="22"/>
      <c r="G66" s="22"/>
      <c r="H66" s="22"/>
    </row>
    <row r="67" spans="2:9" x14ac:dyDescent="0.25">
      <c r="B67" s="19" t="s">
        <v>76</v>
      </c>
    </row>
    <row r="68" spans="2:9" s="26" customFormat="1" x14ac:dyDescent="0.25">
      <c r="B68" s="27"/>
    </row>
    <row r="70" spans="2:9" x14ac:dyDescent="0.25">
      <c r="B70" s="12"/>
      <c r="C70" s="12" t="s">
        <v>52</v>
      </c>
      <c r="D70" s="12" t="s">
        <v>26</v>
      </c>
      <c r="E70" s="21" t="s">
        <v>27</v>
      </c>
      <c r="F70" s="21" t="s">
        <v>28</v>
      </c>
      <c r="G70" s="21" t="s">
        <v>29</v>
      </c>
      <c r="H70" s="21" t="s">
        <v>30</v>
      </c>
      <c r="I70" s="21" t="s">
        <v>31</v>
      </c>
    </row>
    <row r="71" spans="2:9" x14ac:dyDescent="0.25">
      <c r="B71" s="12" t="s">
        <v>83</v>
      </c>
      <c r="C71" s="15">
        <f>D94</f>
        <v>800.98566448383463</v>
      </c>
      <c r="D71" s="15">
        <f>D95</f>
        <v>908.31672008627254</v>
      </c>
      <c r="E71" s="15">
        <f>D96</f>
        <v>1030.0299999999997</v>
      </c>
      <c r="F71" s="15">
        <f>D97</f>
        <v>1459.9999999999998</v>
      </c>
      <c r="G71" s="15">
        <f>D98</f>
        <v>1618.41</v>
      </c>
      <c r="H71" s="15">
        <f>D99</f>
        <v>2131.5999999999995</v>
      </c>
      <c r="I71" s="15">
        <f>D100</f>
        <v>1931.5799999999986</v>
      </c>
    </row>
    <row r="72" spans="2:9" x14ac:dyDescent="0.25">
      <c r="B72" s="12" t="s">
        <v>128</v>
      </c>
      <c r="C72" s="12">
        <v>440</v>
      </c>
      <c r="D72" s="15">
        <v>38</v>
      </c>
      <c r="E72" s="12">
        <v>102</v>
      </c>
      <c r="F72" s="12">
        <v>246</v>
      </c>
      <c r="G72" s="12">
        <v>2524</v>
      </c>
      <c r="H72" s="12">
        <v>3192</v>
      </c>
      <c r="I72" s="12">
        <v>2752</v>
      </c>
    </row>
    <row r="73" spans="2:9" s="23" customFormat="1" x14ac:dyDescent="0.25">
      <c r="B73" s="22" t="s">
        <v>36</v>
      </c>
      <c r="C73" s="22"/>
      <c r="D73" s="22"/>
      <c r="E73" s="22"/>
      <c r="F73" s="22"/>
      <c r="G73" s="22"/>
      <c r="H73" s="22"/>
    </row>
    <row r="74" spans="2:9" x14ac:dyDescent="0.25">
      <c r="B74" s="10" t="s">
        <v>84</v>
      </c>
    </row>
    <row r="75" spans="2:9" x14ac:dyDescent="0.25">
      <c r="B75" s="19" t="s">
        <v>85</v>
      </c>
    </row>
    <row r="76" spans="2:9" s="26" customFormat="1" x14ac:dyDescent="0.25"/>
    <row r="82" spans="2:21" ht="31.5" x14ac:dyDescent="0.25">
      <c r="B82" s="28" t="s">
        <v>126</v>
      </c>
      <c r="C82" s="29" t="s">
        <v>52</v>
      </c>
      <c r="D82" s="29" t="s">
        <v>26</v>
      </c>
      <c r="E82" s="21" t="s">
        <v>26</v>
      </c>
      <c r="F82" s="21" t="s">
        <v>81</v>
      </c>
      <c r="G82" s="21" t="s">
        <v>52</v>
      </c>
    </row>
    <row r="83" spans="2:21" x14ac:dyDescent="0.25">
      <c r="B83" s="30" t="s">
        <v>12</v>
      </c>
      <c r="C83" s="30">
        <v>3983</v>
      </c>
      <c r="D83" s="30">
        <v>4543</v>
      </c>
      <c r="E83" s="12">
        <f>D52</f>
        <v>4542.6899999999996</v>
      </c>
      <c r="F83" s="31">
        <f>E83/D83</f>
        <v>0.99993176315210208</v>
      </c>
      <c r="G83" s="15">
        <f>F83*C83</f>
        <v>3982.7282126348227</v>
      </c>
    </row>
    <row r="84" spans="2:21" x14ac:dyDescent="0.25">
      <c r="B84" s="30" t="s">
        <v>51</v>
      </c>
      <c r="C84" s="30">
        <v>42896</v>
      </c>
      <c r="D84" s="30">
        <v>47669</v>
      </c>
      <c r="E84" s="12">
        <f>D17</f>
        <v>5002.03</v>
      </c>
      <c r="F84" s="31">
        <f t="shared" ref="F84:F87" si="6">E84/D84</f>
        <v>0.10493255574901927</v>
      </c>
      <c r="G84" s="15">
        <f t="shared" ref="G84:G88" si="7">F84*C84</f>
        <v>4501.1869114099309</v>
      </c>
    </row>
    <row r="85" spans="2:21" x14ac:dyDescent="0.25">
      <c r="B85" s="30" t="s">
        <v>44</v>
      </c>
      <c r="C85" s="30">
        <v>720</v>
      </c>
      <c r="D85" s="30">
        <v>667</v>
      </c>
      <c r="E85" s="12">
        <f>D24</f>
        <v>35.54</v>
      </c>
      <c r="F85" s="31">
        <f t="shared" si="6"/>
        <v>5.328335832083958E-2</v>
      </c>
      <c r="G85" s="15">
        <f t="shared" si="7"/>
        <v>38.364017991004495</v>
      </c>
    </row>
    <row r="86" spans="2:21" x14ac:dyDescent="0.25">
      <c r="B86" s="30" t="s">
        <v>47</v>
      </c>
      <c r="C86" s="30">
        <v>9286</v>
      </c>
      <c r="D86" s="30">
        <v>10332</v>
      </c>
      <c r="E86" s="15">
        <f>D51</f>
        <v>10331.959999999999</v>
      </c>
      <c r="F86" s="31">
        <f t="shared" si="6"/>
        <v>0.9999961285327138</v>
      </c>
      <c r="G86" s="15">
        <f t="shared" si="7"/>
        <v>9285.964049554781</v>
      </c>
    </row>
    <row r="87" spans="2:21" x14ac:dyDescent="0.25">
      <c r="B87" s="12" t="s">
        <v>43</v>
      </c>
      <c r="C87" s="12">
        <v>9257</v>
      </c>
      <c r="D87" s="12">
        <v>9469</v>
      </c>
      <c r="E87" s="12">
        <f>D31</f>
        <v>315.02000000000004</v>
      </c>
      <c r="F87" s="31">
        <f t="shared" si="6"/>
        <v>3.3268560566057669E-2</v>
      </c>
      <c r="G87" s="15">
        <f t="shared" si="7"/>
        <v>307.96706515999585</v>
      </c>
    </row>
    <row r="88" spans="2:21" x14ac:dyDescent="0.25">
      <c r="B88" s="12" t="s">
        <v>23</v>
      </c>
      <c r="C88" s="12">
        <v>10849</v>
      </c>
      <c r="D88" s="12">
        <v>12165</v>
      </c>
      <c r="E88" s="12">
        <f>D8</f>
        <v>201.84</v>
      </c>
      <c r="F88" s="31">
        <f t="shared" ref="F88" si="8">E88/D88</f>
        <v>1.659186189889026E-2</v>
      </c>
      <c r="G88" s="15">
        <f t="shared" si="7"/>
        <v>180.00510974106044</v>
      </c>
    </row>
    <row r="92" spans="2:21" x14ac:dyDescent="0.25">
      <c r="B92" s="32"/>
      <c r="C92" s="32"/>
      <c r="D92" s="32"/>
      <c r="E92" s="32"/>
      <c r="F92" s="32"/>
      <c r="G92" s="32"/>
      <c r="H92" s="32"/>
      <c r="J92" s="10" t="s">
        <v>125</v>
      </c>
      <c r="N92" s="33" t="s">
        <v>8</v>
      </c>
      <c r="O92" s="34" t="s">
        <v>14</v>
      </c>
      <c r="P92" s="34" t="s">
        <v>9</v>
      </c>
      <c r="Q92" s="32"/>
      <c r="R92" s="32"/>
      <c r="S92" s="32"/>
      <c r="T92" s="32"/>
      <c r="U92" s="32"/>
    </row>
    <row r="93" spans="2:21" ht="31.5" x14ac:dyDescent="0.25">
      <c r="B93" s="35" t="s">
        <v>127</v>
      </c>
      <c r="C93" s="35" t="s">
        <v>116</v>
      </c>
      <c r="D93" s="35" t="s">
        <v>117</v>
      </c>
      <c r="E93" s="35" t="s">
        <v>118</v>
      </c>
      <c r="F93" s="36"/>
      <c r="G93" s="35" t="s">
        <v>119</v>
      </c>
      <c r="H93" s="35" t="s">
        <v>120</v>
      </c>
      <c r="J93" s="37" t="s">
        <v>124</v>
      </c>
      <c r="K93" s="35" t="s">
        <v>121</v>
      </c>
      <c r="N93" s="30" t="s">
        <v>10</v>
      </c>
      <c r="O93" s="38">
        <v>0.65</v>
      </c>
      <c r="P93" s="30">
        <f>O93*$P$97</f>
        <v>1148.29</v>
      </c>
      <c r="Q93" s="32"/>
      <c r="R93" s="32"/>
      <c r="S93" s="32"/>
      <c r="T93" s="32"/>
      <c r="U93" s="32"/>
    </row>
    <row r="94" spans="2:21" x14ac:dyDescent="0.25">
      <c r="B94" s="35" t="s">
        <v>52</v>
      </c>
      <c r="C94" s="35"/>
      <c r="D94" s="39">
        <f>(D95/(1+$F$102))</f>
        <v>800.98566448383463</v>
      </c>
      <c r="E94" s="40">
        <f t="shared" ref="E94:E99" si="9">D94*0.76</f>
        <v>608.74910500771432</v>
      </c>
      <c r="F94" s="36"/>
      <c r="G94" s="35"/>
      <c r="H94" s="41">
        <v>0.64</v>
      </c>
      <c r="J94" s="35"/>
      <c r="K94" s="39">
        <f>D94/H94-D94</f>
        <v>450.55443627215686</v>
      </c>
      <c r="N94" s="30" t="s">
        <v>11</v>
      </c>
      <c r="O94" s="38">
        <v>0.24</v>
      </c>
      <c r="P94" s="30">
        <f>O94*$P$97</f>
        <v>423.98399999999998</v>
      </c>
      <c r="Q94" s="32"/>
      <c r="R94" s="32"/>
      <c r="S94" s="32"/>
      <c r="T94" s="32"/>
      <c r="U94" s="32"/>
    </row>
    <row r="95" spans="2:21" x14ac:dyDescent="0.25">
      <c r="B95" s="35" t="s">
        <v>26</v>
      </c>
      <c r="C95" s="35"/>
      <c r="D95" s="39">
        <f>D96/(1+$F$102)</f>
        <v>908.31672008627254</v>
      </c>
      <c r="E95" s="40">
        <f t="shared" si="9"/>
        <v>690.32070726556719</v>
      </c>
      <c r="F95" s="36"/>
      <c r="G95" s="35"/>
      <c r="H95" s="41">
        <v>0.64</v>
      </c>
      <c r="J95" s="42">
        <v>38</v>
      </c>
      <c r="K95" s="39">
        <f>D95/H95-D95</f>
        <v>510.92815504852831</v>
      </c>
      <c r="N95" s="30" t="s">
        <v>12</v>
      </c>
      <c r="O95" s="38">
        <v>7.0000000000000007E-2</v>
      </c>
      <c r="P95" s="30">
        <f>O95*$P$97</f>
        <v>123.66200000000001</v>
      </c>
      <c r="Q95" s="32"/>
      <c r="R95" s="32"/>
      <c r="S95" s="32"/>
      <c r="T95" s="32"/>
      <c r="U95" s="32"/>
    </row>
    <row r="96" spans="2:21" ht="63" x14ac:dyDescent="0.25">
      <c r="B96" s="35" t="s">
        <v>27</v>
      </c>
      <c r="C96" s="43">
        <f>1.39+1.1+0.002+0.03+0.15+0.03+0.04+0.02+0.04+0.01+0.01</f>
        <v>2.8219999999999992</v>
      </c>
      <c r="D96" s="44">
        <f>C96*365</f>
        <v>1030.0299999999997</v>
      </c>
      <c r="E96" s="40">
        <f t="shared" si="9"/>
        <v>782.8227999999998</v>
      </c>
      <c r="F96" s="36"/>
      <c r="G96" s="35">
        <v>102</v>
      </c>
      <c r="H96" s="41">
        <v>0.64</v>
      </c>
      <c r="J96" s="42">
        <v>102</v>
      </c>
      <c r="K96" s="39">
        <f>D96/H96-D96</f>
        <v>579.3918749999998</v>
      </c>
      <c r="M96" s="32"/>
      <c r="N96" s="28" t="s">
        <v>13</v>
      </c>
      <c r="O96" s="38">
        <v>0.04</v>
      </c>
      <c r="P96" s="30">
        <f>O96*$P$97</f>
        <v>70.664000000000001</v>
      </c>
      <c r="Q96" s="32"/>
      <c r="R96" s="32"/>
      <c r="S96" s="32"/>
      <c r="T96" s="32"/>
      <c r="U96" s="32"/>
    </row>
    <row r="97" spans="2:21" x14ac:dyDescent="0.25">
      <c r="B97" s="35" t="s">
        <v>28</v>
      </c>
      <c r="C97" s="45">
        <f>2+1.32+0.03+0.04+0.25+0.04+0.08+0.07+0.03+0.08+0.01+0.02+0.01+0.01+0.01</f>
        <v>3.9999999999999991</v>
      </c>
      <c r="D97" s="44">
        <f>C97*365</f>
        <v>1459.9999999999998</v>
      </c>
      <c r="E97" s="40">
        <f t="shared" si="9"/>
        <v>1109.5999999999999</v>
      </c>
      <c r="F97" s="36"/>
      <c r="G97" s="35">
        <v>246</v>
      </c>
      <c r="H97" s="41">
        <v>0.64</v>
      </c>
      <c r="J97" s="42">
        <v>246</v>
      </c>
      <c r="K97" s="39">
        <f>D97/H97-D97</f>
        <v>821.24999999999977</v>
      </c>
      <c r="N97" s="30" t="s">
        <v>4</v>
      </c>
      <c r="O97" s="46">
        <f>SUM(O93:O96)</f>
        <v>1</v>
      </c>
      <c r="P97" s="30">
        <v>1766.6</v>
      </c>
      <c r="Q97" s="32"/>
      <c r="R97" s="32"/>
      <c r="S97" s="32"/>
      <c r="T97" s="32"/>
      <c r="U97" s="32"/>
    </row>
    <row r="98" spans="2:21" x14ac:dyDescent="0.25">
      <c r="B98" s="35" t="s">
        <v>29</v>
      </c>
      <c r="C98" s="43">
        <v>4.4340000000000002</v>
      </c>
      <c r="D98" s="44">
        <f>C98*365</f>
        <v>1618.41</v>
      </c>
      <c r="E98" s="40">
        <f t="shared" si="9"/>
        <v>1229.9916000000001</v>
      </c>
      <c r="F98" s="36"/>
      <c r="G98" s="47">
        <v>2524</v>
      </c>
      <c r="H98" s="48">
        <f>D98/G98</f>
        <v>0.64120839936608565</v>
      </c>
      <c r="J98" s="43">
        <v>2524</v>
      </c>
      <c r="K98" s="49">
        <f t="shared" ref="K98:K100" si="10">J98-D98</f>
        <v>905.58999999999992</v>
      </c>
      <c r="N98" s="32"/>
      <c r="O98" s="32"/>
      <c r="P98" s="32"/>
      <c r="Q98" s="32"/>
      <c r="R98" s="32"/>
      <c r="S98" s="32"/>
      <c r="T98" s="32"/>
      <c r="U98" s="32"/>
    </row>
    <row r="99" spans="2:21" x14ac:dyDescent="0.25">
      <c r="B99" s="35" t="s">
        <v>30</v>
      </c>
      <c r="C99" s="43">
        <f>2.39+1.43+0.09+0.04+0.3+0.34+0.05+0.06+0.08+0.04+0.43+0.05+0.03+0.05+0.02+0.09+0.05+0.09+0.02+0.19</f>
        <v>5.8399999999999981</v>
      </c>
      <c r="D99" s="44">
        <f>C99*365</f>
        <v>2131.5999999999995</v>
      </c>
      <c r="E99" s="40">
        <f t="shared" si="9"/>
        <v>1620.0159999999996</v>
      </c>
      <c r="F99" s="36"/>
      <c r="G99" s="47">
        <v>3192</v>
      </c>
      <c r="H99" s="48">
        <f>D99/G99</f>
        <v>0.66779448621553872</v>
      </c>
      <c r="J99" s="43">
        <v>3192</v>
      </c>
      <c r="K99" s="49">
        <f t="shared" si="10"/>
        <v>1060.4000000000005</v>
      </c>
      <c r="N99" s="32"/>
      <c r="O99" s="32"/>
      <c r="P99" s="32"/>
      <c r="Q99" s="32"/>
      <c r="R99" s="32"/>
      <c r="S99" s="32"/>
      <c r="T99" s="32"/>
      <c r="U99" s="32"/>
    </row>
    <row r="100" spans="2:21" ht="47.25" x14ac:dyDescent="0.25">
      <c r="B100" s="35" t="s">
        <v>31</v>
      </c>
      <c r="C100" s="43">
        <f>2.75+1.52+0.09+0.001+0.03+0.34+0.07+0.005+0.004+0.005+0.044+0.013+0.007+0.058+0.051+0.003+0.002+0.02+0.09+0.05+0.1+0.02+0.015+0.004</f>
        <v>5.2919999999999963</v>
      </c>
      <c r="D100" s="44">
        <f>C100*365</f>
        <v>1931.5799999999986</v>
      </c>
      <c r="E100" s="35">
        <v>1817.8</v>
      </c>
      <c r="F100" s="36"/>
      <c r="G100" s="47">
        <v>2752</v>
      </c>
      <c r="H100" s="48">
        <f>D100/G100</f>
        <v>0.70188226744186</v>
      </c>
      <c r="J100" s="43">
        <v>2752</v>
      </c>
      <c r="K100" s="49">
        <f t="shared" si="10"/>
        <v>820.42000000000144</v>
      </c>
      <c r="N100" s="33" t="s">
        <v>5</v>
      </c>
      <c r="O100" s="50" t="s">
        <v>6</v>
      </c>
      <c r="P100" s="50" t="s">
        <v>7</v>
      </c>
      <c r="Q100" s="50" t="s">
        <v>95</v>
      </c>
      <c r="R100" s="50" t="s">
        <v>96</v>
      </c>
      <c r="S100" s="33" t="s">
        <v>15</v>
      </c>
      <c r="T100" s="33" t="s">
        <v>16</v>
      </c>
      <c r="U100" s="32"/>
    </row>
    <row r="101" spans="2:21" x14ac:dyDescent="0.25">
      <c r="B101" s="32"/>
      <c r="C101" s="32"/>
      <c r="D101" s="32"/>
      <c r="E101" s="32"/>
      <c r="F101" s="32"/>
      <c r="G101" s="32"/>
      <c r="H101" s="32"/>
      <c r="N101" s="30" t="s">
        <v>0</v>
      </c>
      <c r="O101" s="30">
        <v>123.56</v>
      </c>
      <c r="P101" s="30">
        <v>121.211</v>
      </c>
      <c r="Q101" s="30">
        <v>23</v>
      </c>
      <c r="R101" s="30">
        <v>6</v>
      </c>
      <c r="S101" s="51" t="s">
        <v>17</v>
      </c>
      <c r="T101" s="51" t="s">
        <v>18</v>
      </c>
      <c r="U101" s="32"/>
    </row>
    <row r="102" spans="2:21" x14ac:dyDescent="0.25">
      <c r="B102" s="32"/>
      <c r="C102" s="32"/>
      <c r="D102" s="32"/>
      <c r="E102" s="32" t="s">
        <v>122</v>
      </c>
      <c r="F102" s="52">
        <f>(D100/D96)^(1/5)-1</f>
        <v>0.13399872227626375</v>
      </c>
      <c r="G102" s="32"/>
      <c r="H102" s="32"/>
      <c r="N102" s="30" t="s">
        <v>2</v>
      </c>
      <c r="O102" s="30">
        <v>10.210000000000001</v>
      </c>
      <c r="P102" s="30">
        <v>10.122</v>
      </c>
      <c r="Q102" s="30">
        <v>0.1</v>
      </c>
      <c r="R102" s="30">
        <v>0.28000000000000003</v>
      </c>
      <c r="S102" s="51" t="s">
        <v>19</v>
      </c>
      <c r="T102" s="51" t="s">
        <v>20</v>
      </c>
      <c r="U102" s="32"/>
    </row>
    <row r="103" spans="2:21" x14ac:dyDescent="0.25">
      <c r="B103" s="32"/>
      <c r="C103" s="32"/>
      <c r="D103" s="32"/>
      <c r="E103" s="32" t="s">
        <v>123</v>
      </c>
      <c r="F103" s="32">
        <v>0.76</v>
      </c>
      <c r="G103" s="32"/>
      <c r="H103" s="32"/>
      <c r="N103" s="30" t="s">
        <v>1</v>
      </c>
      <c r="O103" s="30">
        <v>6.84</v>
      </c>
      <c r="P103" s="30">
        <v>6.109</v>
      </c>
      <c r="Q103" s="30">
        <v>0.34</v>
      </c>
      <c r="R103" s="30">
        <v>2.35</v>
      </c>
      <c r="S103" s="51" t="s">
        <v>19</v>
      </c>
      <c r="T103" s="51" t="s">
        <v>18</v>
      </c>
      <c r="U103" s="32"/>
    </row>
    <row r="104" spans="2:21" x14ac:dyDescent="0.25">
      <c r="N104" s="30" t="s">
        <v>3</v>
      </c>
      <c r="O104" s="30">
        <v>1.43</v>
      </c>
      <c r="P104" s="30">
        <v>1.4159999999999999</v>
      </c>
      <c r="Q104" s="30">
        <v>0.13</v>
      </c>
      <c r="R104" s="30">
        <v>0.04</v>
      </c>
      <c r="S104" s="51" t="s">
        <v>19</v>
      </c>
      <c r="T104" s="51" t="s">
        <v>20</v>
      </c>
      <c r="U104" s="32"/>
    </row>
    <row r="105" spans="2:21" x14ac:dyDescent="0.25">
      <c r="N105" s="30" t="s">
        <v>4</v>
      </c>
      <c r="O105" s="30">
        <f>SUM(O101:O104)</f>
        <v>142.04000000000002</v>
      </c>
      <c r="P105" s="30">
        <v>138.858</v>
      </c>
      <c r="Q105" s="30">
        <f>SUM(Q101:Q104)</f>
        <v>23.57</v>
      </c>
      <c r="R105" s="30">
        <v>8.67</v>
      </c>
      <c r="S105" s="30"/>
      <c r="T105" s="30"/>
      <c r="U105" s="32"/>
    </row>
  </sheetData>
  <pageMargins left="0.7" right="0.7" top="0.75" bottom="0.75"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E58"/>
  <sheetViews>
    <sheetView topLeftCell="A76" workbookViewId="0">
      <selection activeCell="C40" sqref="C40"/>
    </sheetView>
  </sheetViews>
  <sheetFormatPr defaultRowHeight="15.75" x14ac:dyDescent="0.25"/>
  <cols>
    <col min="1" max="1" width="9.140625" style="32"/>
    <col min="2" max="2" width="22.7109375" style="32" customWidth="1"/>
    <col min="3" max="3" width="16.28515625" style="32" bestFit="1" customWidth="1"/>
    <col min="4" max="5" width="14.7109375" style="32" bestFit="1" customWidth="1"/>
    <col min="6" max="6" width="10.85546875" style="32" bestFit="1" customWidth="1"/>
    <col min="7" max="7" width="9.140625" style="32"/>
    <col min="8" max="8" width="11.7109375" style="32" customWidth="1"/>
    <col min="9" max="9" width="10.85546875" style="32" bestFit="1" customWidth="1"/>
    <col min="10" max="16384" width="9.140625" style="32"/>
  </cols>
  <sheetData>
    <row r="1" spans="2:5" s="26" customFormat="1" x14ac:dyDescent="0.25"/>
    <row r="2" spans="2:5" x14ac:dyDescent="0.25">
      <c r="B2" s="53" t="s">
        <v>65</v>
      </c>
    </row>
    <row r="3" spans="2:5" ht="15.75" customHeight="1" x14ac:dyDescent="0.25">
      <c r="B3" s="33" t="s">
        <v>21</v>
      </c>
      <c r="C3" s="50" t="s">
        <v>66</v>
      </c>
      <c r="D3" s="33" t="s">
        <v>57</v>
      </c>
    </row>
    <row r="4" spans="2:5" x14ac:dyDescent="0.25">
      <c r="B4" s="30" t="s">
        <v>22</v>
      </c>
      <c r="C4" s="54">
        <v>69.3</v>
      </c>
      <c r="D4" s="54">
        <v>69.3</v>
      </c>
    </row>
    <row r="5" spans="2:5" x14ac:dyDescent="0.25">
      <c r="B5" s="30" t="s">
        <v>74</v>
      </c>
      <c r="C5" s="54">
        <v>71.5</v>
      </c>
      <c r="D5" s="54">
        <v>71.5</v>
      </c>
    </row>
    <row r="6" spans="2:5" x14ac:dyDescent="0.25">
      <c r="B6" s="30" t="s">
        <v>12</v>
      </c>
      <c r="C6" s="54">
        <f>70</f>
        <v>70</v>
      </c>
      <c r="D6" s="54">
        <v>70</v>
      </c>
    </row>
    <row r="7" spans="2:5" x14ac:dyDescent="0.25">
      <c r="B7" s="30" t="s">
        <v>24</v>
      </c>
      <c r="C7" s="54">
        <v>71.900000000000006</v>
      </c>
      <c r="D7" s="54">
        <v>71.900000000000006</v>
      </c>
    </row>
    <row r="8" spans="2:5" x14ac:dyDescent="0.25">
      <c r="B8" s="30" t="s">
        <v>10</v>
      </c>
      <c r="C8" s="54">
        <v>74.099999999999994</v>
      </c>
      <c r="D8" s="54">
        <v>74.099999999999994</v>
      </c>
    </row>
    <row r="9" spans="2:5" x14ac:dyDescent="0.25">
      <c r="B9" s="30" t="s">
        <v>23</v>
      </c>
      <c r="C9" s="54">
        <v>63.1</v>
      </c>
      <c r="D9" s="54">
        <v>63.1</v>
      </c>
    </row>
    <row r="10" spans="2:5" x14ac:dyDescent="0.25">
      <c r="B10" s="30" t="s">
        <v>25</v>
      </c>
      <c r="C10" s="54">
        <v>56.1</v>
      </c>
      <c r="D10" s="54">
        <v>56.1</v>
      </c>
    </row>
    <row r="11" spans="2:5" x14ac:dyDescent="0.25">
      <c r="B11" s="30" t="s">
        <v>71</v>
      </c>
      <c r="C11" s="54">
        <v>77.400000000000006</v>
      </c>
      <c r="D11" s="54">
        <v>77.400000000000006</v>
      </c>
    </row>
    <row r="12" spans="2:5" x14ac:dyDescent="0.25">
      <c r="B12" s="12" t="s">
        <v>97</v>
      </c>
      <c r="C12" s="30">
        <v>96.1</v>
      </c>
      <c r="D12" s="30">
        <v>93.91</v>
      </c>
    </row>
    <row r="13" spans="2:5" x14ac:dyDescent="0.25">
      <c r="B13" s="12" t="s">
        <v>44</v>
      </c>
      <c r="C13" s="30"/>
      <c r="D13" s="30">
        <v>74.099999999999994</v>
      </c>
      <c r="E13" s="55"/>
    </row>
    <row r="14" spans="2:5" x14ac:dyDescent="0.25">
      <c r="B14" s="19"/>
      <c r="C14" s="55"/>
      <c r="D14" s="55"/>
      <c r="E14" s="55"/>
    </row>
    <row r="15" spans="2:5" s="26" customFormat="1" x14ac:dyDescent="0.25">
      <c r="B15" s="27"/>
      <c r="C15" s="27"/>
      <c r="D15" s="27"/>
      <c r="E15" s="27"/>
    </row>
    <row r="16" spans="2:5" x14ac:dyDescent="0.25">
      <c r="B16" s="53" t="s">
        <v>67</v>
      </c>
    </row>
    <row r="17" spans="2:4" ht="15.75" customHeight="1" x14ac:dyDescent="0.25">
      <c r="B17" s="50" t="s">
        <v>68</v>
      </c>
      <c r="C17" s="34" t="s">
        <v>60</v>
      </c>
      <c r="D17" s="34" t="s">
        <v>61</v>
      </c>
    </row>
    <row r="18" spans="2:4" x14ac:dyDescent="0.25">
      <c r="B18" s="30" t="s">
        <v>62</v>
      </c>
      <c r="C18" s="30">
        <v>33</v>
      </c>
      <c r="D18" s="30">
        <v>3.2</v>
      </c>
    </row>
    <row r="19" spans="2:4" x14ac:dyDescent="0.25">
      <c r="B19" s="30" t="s">
        <v>63</v>
      </c>
      <c r="C19" s="30">
        <v>3.9</v>
      </c>
      <c r="D19" s="30">
        <v>3.9</v>
      </c>
    </row>
    <row r="20" spans="2:4" x14ac:dyDescent="0.25">
      <c r="B20" s="30" t="s">
        <v>59</v>
      </c>
      <c r="C20" s="30">
        <v>92</v>
      </c>
      <c r="D20" s="30">
        <v>3</v>
      </c>
    </row>
    <row r="21" spans="2:4" x14ac:dyDescent="0.25">
      <c r="B21" s="30" t="s">
        <v>23</v>
      </c>
      <c r="C21" s="30">
        <v>62</v>
      </c>
      <c r="D21" s="30">
        <v>0.2</v>
      </c>
    </row>
    <row r="22" spans="2:4" x14ac:dyDescent="0.25">
      <c r="B22" s="56"/>
      <c r="C22" s="55"/>
      <c r="D22" s="55"/>
    </row>
    <row r="24" spans="2:4" x14ac:dyDescent="0.25">
      <c r="B24" s="53" t="s">
        <v>69</v>
      </c>
    </row>
    <row r="25" spans="2:4" ht="16.5" customHeight="1" x14ac:dyDescent="0.25">
      <c r="B25" s="50" t="s">
        <v>68</v>
      </c>
      <c r="C25" s="34" t="s">
        <v>60</v>
      </c>
      <c r="D25" s="34" t="s">
        <v>61</v>
      </c>
    </row>
    <row r="26" spans="2:4" ht="15.75" customHeight="1" x14ac:dyDescent="0.25">
      <c r="B26" s="30" t="s">
        <v>70</v>
      </c>
      <c r="C26" s="30">
        <v>4.1500000000000004</v>
      </c>
      <c r="D26" s="30">
        <v>28.6</v>
      </c>
    </row>
    <row r="27" spans="2:4" ht="15.75" customHeight="1" x14ac:dyDescent="0.25">
      <c r="B27" s="12" t="s">
        <v>99</v>
      </c>
      <c r="C27" s="30">
        <v>2</v>
      </c>
      <c r="D27" s="30">
        <v>1.5</v>
      </c>
    </row>
    <row r="28" spans="2:4" ht="15.75" customHeight="1" x14ac:dyDescent="0.25">
      <c r="B28" s="55"/>
      <c r="C28" s="55"/>
      <c r="D28" s="55"/>
    </row>
    <row r="30" spans="2:4" x14ac:dyDescent="0.25">
      <c r="B30" s="53" t="s">
        <v>87</v>
      </c>
    </row>
    <row r="31" spans="2:4" ht="15.75" customHeight="1" x14ac:dyDescent="0.25">
      <c r="B31" s="50" t="s">
        <v>68</v>
      </c>
      <c r="C31" s="34" t="s">
        <v>60</v>
      </c>
      <c r="D31" s="34" t="s">
        <v>61</v>
      </c>
    </row>
    <row r="32" spans="2:4" x14ac:dyDescent="0.25">
      <c r="B32" s="28" t="s">
        <v>86</v>
      </c>
      <c r="C32" s="51" t="s">
        <v>182</v>
      </c>
      <c r="D32" s="30" t="s">
        <v>73</v>
      </c>
    </row>
    <row r="34" spans="2:5" x14ac:dyDescent="0.25">
      <c r="B34" s="53" t="s">
        <v>94</v>
      </c>
    </row>
    <row r="35" spans="2:5" ht="63" x14ac:dyDescent="0.25">
      <c r="B35" s="50" t="s">
        <v>68</v>
      </c>
      <c r="C35" s="57" t="s">
        <v>89</v>
      </c>
      <c r="D35" s="57" t="s">
        <v>90</v>
      </c>
      <c r="E35" s="57" t="s">
        <v>93</v>
      </c>
    </row>
    <row r="36" spans="2:5" x14ac:dyDescent="0.25">
      <c r="B36" s="28" t="s">
        <v>88</v>
      </c>
      <c r="C36" s="51" t="s">
        <v>91</v>
      </c>
      <c r="D36" s="30" t="s">
        <v>92</v>
      </c>
      <c r="E36" s="30" t="s">
        <v>183</v>
      </c>
    </row>
    <row r="37" spans="2:5" x14ac:dyDescent="0.25">
      <c r="B37" s="58"/>
      <c r="C37" s="59"/>
      <c r="D37" s="55"/>
      <c r="E37" s="55"/>
    </row>
    <row r="38" spans="2:5" s="26" customFormat="1" x14ac:dyDescent="0.25">
      <c r="B38" s="60"/>
      <c r="C38" s="61"/>
      <c r="D38" s="27"/>
    </row>
    <row r="39" spans="2:5" x14ac:dyDescent="0.25">
      <c r="B39" s="53" t="s">
        <v>64</v>
      </c>
    </row>
    <row r="40" spans="2:5" x14ac:dyDescent="0.25">
      <c r="B40" s="33" t="s">
        <v>21</v>
      </c>
      <c r="C40" s="62" t="s">
        <v>56</v>
      </c>
    </row>
    <row r="41" spans="2:5" x14ac:dyDescent="0.25">
      <c r="B41" s="30" t="s">
        <v>10</v>
      </c>
      <c r="C41" s="30">
        <v>43</v>
      </c>
    </row>
    <row r="42" spans="2:5" x14ac:dyDescent="0.25">
      <c r="B42" s="30" t="s">
        <v>11</v>
      </c>
      <c r="C42" s="30">
        <v>44.3</v>
      </c>
    </row>
    <row r="43" spans="2:5" x14ac:dyDescent="0.25">
      <c r="B43" s="30" t="s">
        <v>58</v>
      </c>
      <c r="C43" s="30">
        <v>43.8</v>
      </c>
    </row>
    <row r="44" spans="2:5" x14ac:dyDescent="0.25">
      <c r="B44" s="30" t="s">
        <v>59</v>
      </c>
      <c r="C44" s="30">
        <v>48</v>
      </c>
    </row>
    <row r="45" spans="2:5" x14ac:dyDescent="0.25">
      <c r="B45" s="12" t="s">
        <v>23</v>
      </c>
      <c r="C45" s="12">
        <v>47.3</v>
      </c>
    </row>
    <row r="46" spans="2:5" x14ac:dyDescent="0.25">
      <c r="B46" s="12" t="s">
        <v>12</v>
      </c>
      <c r="C46" s="12">
        <v>44.1</v>
      </c>
    </row>
    <row r="47" spans="2:5" x14ac:dyDescent="0.25">
      <c r="B47" s="12" t="s">
        <v>72</v>
      </c>
      <c r="C47" s="12">
        <v>40.19</v>
      </c>
    </row>
    <row r="48" spans="2:5" x14ac:dyDescent="0.25">
      <c r="B48" s="12" t="s">
        <v>98</v>
      </c>
      <c r="C48" s="12">
        <v>19.63</v>
      </c>
    </row>
    <row r="49" spans="2:4" x14ac:dyDescent="0.25">
      <c r="B49" s="12" t="s">
        <v>106</v>
      </c>
      <c r="C49" s="30">
        <v>43</v>
      </c>
    </row>
    <row r="53" spans="2:4" x14ac:dyDescent="0.25">
      <c r="C53" s="63" t="s">
        <v>174</v>
      </c>
      <c r="D53" s="63" t="s">
        <v>175</v>
      </c>
    </row>
    <row r="54" spans="2:4" x14ac:dyDescent="0.25">
      <c r="B54" s="64" t="s">
        <v>114</v>
      </c>
      <c r="C54" s="65">
        <v>21</v>
      </c>
      <c r="D54" s="65">
        <v>5</v>
      </c>
    </row>
    <row r="55" spans="2:4" x14ac:dyDescent="0.25">
      <c r="B55" s="64" t="s">
        <v>176</v>
      </c>
      <c r="C55" s="65">
        <v>310</v>
      </c>
      <c r="D55" s="65">
        <v>270</v>
      </c>
    </row>
    <row r="57" spans="2:4" x14ac:dyDescent="0.25">
      <c r="B57" s="32" t="s">
        <v>180</v>
      </c>
    </row>
    <row r="58" spans="2:4" x14ac:dyDescent="0.25">
      <c r="B58" s="32" t="s">
        <v>178</v>
      </c>
      <c r="C58" s="32">
        <v>2.38845897E-2</v>
      </c>
      <c r="D58" s="32" t="s">
        <v>179</v>
      </c>
    </row>
  </sheetData>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BD78"/>
  <sheetViews>
    <sheetView topLeftCell="N25" zoomScale="40" zoomScaleNormal="40" workbookViewId="0">
      <selection activeCell="AU73" sqref="AU73"/>
    </sheetView>
  </sheetViews>
  <sheetFormatPr defaultRowHeight="15.75" x14ac:dyDescent="0.25"/>
  <cols>
    <col min="1" max="1" width="9.140625" style="32"/>
    <col min="2" max="2" width="29.85546875" style="10" bestFit="1" customWidth="1"/>
    <col min="3" max="3" width="11.85546875" style="32" bestFit="1" customWidth="1"/>
    <col min="4" max="9" width="9.28515625" style="32" bestFit="1" customWidth="1"/>
    <col min="10" max="10" width="9.140625" style="32"/>
    <col min="11" max="11" width="3.140625" style="67" customWidth="1"/>
    <col min="12" max="12" width="9.140625" style="32"/>
    <col min="13" max="13" width="30.5703125" style="32" bestFit="1" customWidth="1"/>
    <col min="14" max="14" width="12.7109375" style="32" customWidth="1"/>
    <col min="15" max="15" width="11.7109375" style="32" bestFit="1" customWidth="1"/>
    <col min="16" max="17" width="10.85546875" style="32" bestFit="1" customWidth="1"/>
    <col min="18" max="20" width="10.7109375" style="32" bestFit="1" customWidth="1"/>
    <col min="21" max="21" width="9.28515625" style="32" bestFit="1" customWidth="1"/>
    <col min="22" max="23" width="9.7109375" style="32" bestFit="1" customWidth="1"/>
    <col min="24" max="24" width="2.85546875" style="67" customWidth="1"/>
    <col min="25" max="26" width="9.140625" style="32"/>
    <col min="27" max="27" width="30.5703125" style="32" bestFit="1" customWidth="1"/>
    <col min="28" max="34" width="11.7109375" style="32" bestFit="1" customWidth="1"/>
    <col min="35" max="36" width="9.140625" style="32"/>
    <col min="37" max="37" width="2.85546875" style="67" customWidth="1"/>
    <col min="38" max="38" width="9.140625" style="32"/>
    <col min="39" max="39" width="29.85546875" style="32" bestFit="1" customWidth="1"/>
    <col min="40" max="40" width="9.7109375" style="32" bestFit="1" customWidth="1"/>
    <col min="41" max="46" width="9.28515625" style="32" bestFit="1" customWidth="1"/>
    <col min="47" max="48" width="9.140625" style="32"/>
    <col min="49" max="49" width="24.7109375" style="32" customWidth="1"/>
    <col min="50" max="56" width="11.85546875" style="32" bestFit="1" customWidth="1"/>
    <col min="57" max="16384" width="9.140625" style="32"/>
  </cols>
  <sheetData>
    <row r="2" spans="2:56" s="67" customFormat="1" x14ac:dyDescent="0.25">
      <c r="B2" s="66" t="s">
        <v>102</v>
      </c>
      <c r="N2" s="66" t="s">
        <v>104</v>
      </c>
      <c r="AB2" s="66" t="s">
        <v>103</v>
      </c>
      <c r="AC2" s="66"/>
      <c r="AD2" s="66"/>
      <c r="AM2" s="66" t="s">
        <v>105</v>
      </c>
      <c r="AN2" s="66"/>
      <c r="AO2" s="66"/>
      <c r="AW2" s="66" t="s">
        <v>146</v>
      </c>
      <c r="AX2" s="66"/>
      <c r="AY2" s="66"/>
    </row>
    <row r="4" spans="2:56" s="69" customFormat="1" x14ac:dyDescent="0.25">
      <c r="B4" s="68" t="s">
        <v>0</v>
      </c>
      <c r="C4" s="68" t="str">
        <f>'Raw Data'!C5</f>
        <v>2006-07</v>
      </c>
      <c r="D4" s="68" t="str">
        <f>'Raw Data'!D5</f>
        <v>2007-08</v>
      </c>
      <c r="E4" s="68" t="str">
        <f>'Raw Data'!E5</f>
        <v>2008-09</v>
      </c>
      <c r="F4" s="68" t="str">
        <f>'Raw Data'!F5</f>
        <v>2009-10</v>
      </c>
      <c r="G4" s="68" t="str">
        <f>'Raw Data'!G5</f>
        <v>2010-11</v>
      </c>
      <c r="H4" s="68" t="str">
        <f>'Raw Data'!H5</f>
        <v>2011-12</v>
      </c>
      <c r="I4" s="68" t="str">
        <f>'Raw Data'!I5</f>
        <v>2012-13</v>
      </c>
      <c r="M4" s="68" t="str">
        <f t="shared" ref="M4:T4" si="0">B4</f>
        <v xml:space="preserve">Road </v>
      </c>
      <c r="N4" s="70" t="str">
        <f t="shared" si="0"/>
        <v>2006-07</v>
      </c>
      <c r="O4" s="70" t="str">
        <f t="shared" si="0"/>
        <v>2007-08</v>
      </c>
      <c r="P4" s="70" t="str">
        <f t="shared" si="0"/>
        <v>2008-09</v>
      </c>
      <c r="Q4" s="70" t="str">
        <f t="shared" si="0"/>
        <v>2009-10</v>
      </c>
      <c r="R4" s="70" t="str">
        <f t="shared" si="0"/>
        <v>2010-11</v>
      </c>
      <c r="S4" s="70" t="str">
        <f t="shared" si="0"/>
        <v>2011-12</v>
      </c>
      <c r="T4" s="70" t="str">
        <f t="shared" si="0"/>
        <v>2012-13</v>
      </c>
      <c r="AA4" s="68" t="str">
        <f>M4</f>
        <v xml:space="preserve">Road </v>
      </c>
      <c r="AB4" s="68" t="str">
        <f>N4</f>
        <v>2006-07</v>
      </c>
      <c r="AC4" s="68" t="str">
        <f t="shared" ref="AC4:AH4" si="1">O4</f>
        <v>2007-08</v>
      </c>
      <c r="AD4" s="68" t="str">
        <f t="shared" si="1"/>
        <v>2008-09</v>
      </c>
      <c r="AE4" s="68" t="str">
        <f t="shared" si="1"/>
        <v>2009-10</v>
      </c>
      <c r="AF4" s="68" t="str">
        <f t="shared" si="1"/>
        <v>2010-11</v>
      </c>
      <c r="AG4" s="68" t="str">
        <f t="shared" si="1"/>
        <v>2011-12</v>
      </c>
      <c r="AH4" s="68" t="str">
        <f t="shared" si="1"/>
        <v>2012-13</v>
      </c>
      <c r="AI4" s="71"/>
      <c r="AM4" s="68" t="str">
        <f>AA4</f>
        <v xml:space="preserve">Road </v>
      </c>
      <c r="AN4" s="68" t="str">
        <f t="shared" ref="AN4:AT4" si="2">AB4</f>
        <v>2006-07</v>
      </c>
      <c r="AO4" s="68" t="str">
        <f t="shared" si="2"/>
        <v>2007-08</v>
      </c>
      <c r="AP4" s="68" t="str">
        <f t="shared" si="2"/>
        <v>2008-09</v>
      </c>
      <c r="AQ4" s="68" t="str">
        <f t="shared" si="2"/>
        <v>2009-10</v>
      </c>
      <c r="AR4" s="68" t="str">
        <f t="shared" si="2"/>
        <v>2010-11</v>
      </c>
      <c r="AS4" s="68" t="str">
        <f t="shared" si="2"/>
        <v>2011-12</v>
      </c>
      <c r="AT4" s="68" t="str">
        <f t="shared" si="2"/>
        <v>2012-13</v>
      </c>
      <c r="AW4" s="68" t="s">
        <v>0</v>
      </c>
      <c r="AX4" s="68" t="s">
        <v>52</v>
      </c>
      <c r="AY4" s="68" t="s">
        <v>26</v>
      </c>
      <c r="AZ4" s="68" t="s">
        <v>27</v>
      </c>
      <c r="BA4" s="68" t="s">
        <v>28</v>
      </c>
      <c r="BB4" s="68" t="s">
        <v>29</v>
      </c>
      <c r="BC4" s="68" t="s">
        <v>30</v>
      </c>
      <c r="BD4" s="68" t="s">
        <v>31</v>
      </c>
    </row>
    <row r="5" spans="2:56" x14ac:dyDescent="0.25">
      <c r="B5" s="12" t="str">
        <f>'Raw Data'!B51</f>
        <v>Motor Spirit (000 Tonnes)</v>
      </c>
      <c r="C5" s="72">
        <f>'Raw Data'!C51</f>
        <v>9285</v>
      </c>
      <c r="D5" s="72">
        <f>'Raw Data'!D51</f>
        <v>10331.959999999999</v>
      </c>
      <c r="E5" s="72">
        <f>'Raw Data'!E51</f>
        <v>11258</v>
      </c>
      <c r="F5" s="72">
        <f>'Raw Data'!F51</f>
        <v>12818</v>
      </c>
      <c r="G5" s="72">
        <f>'Raw Data'!G51</f>
        <v>14194</v>
      </c>
      <c r="H5" s="72">
        <f>'Raw Data'!H51</f>
        <v>14992</v>
      </c>
      <c r="I5" s="72">
        <f>'Raw Data'!I51</f>
        <v>15744</v>
      </c>
      <c r="M5" s="12" t="str">
        <f t="shared" ref="M5:M10" si="3">B5</f>
        <v>Motor Spirit (000 Tonnes)</v>
      </c>
      <c r="N5" s="73">
        <f t="shared" ref="N5:T5" si="4">(C5*$C$49*$C$64)/10^3</f>
        <v>28504.85715</v>
      </c>
      <c r="O5" s="74">
        <f t="shared" si="4"/>
        <v>31719.013880399994</v>
      </c>
      <c r="P5" s="74">
        <f t="shared" si="4"/>
        <v>34561.947419999997</v>
      </c>
      <c r="Q5" s="74">
        <f t="shared" si="4"/>
        <v>39351.131819999995</v>
      </c>
      <c r="R5" s="74">
        <f t="shared" si="4"/>
        <v>43575.438059999993</v>
      </c>
      <c r="S5" s="74">
        <f t="shared" si="4"/>
        <v>46025.290079999999</v>
      </c>
      <c r="T5" s="74">
        <f t="shared" si="4"/>
        <v>48333.922559999992</v>
      </c>
      <c r="AA5" s="12" t="str">
        <f t="shared" ref="AA5:AA10" si="5">M5</f>
        <v>Motor Spirit (000 Tonnes)</v>
      </c>
      <c r="AB5" s="74">
        <f t="shared" ref="AB5:AH5" si="6">(C5*$C$49*$AB$51)/10^6</f>
        <v>13.573741500000001</v>
      </c>
      <c r="AC5" s="74">
        <f t="shared" si="6"/>
        <v>15.104292323999998</v>
      </c>
      <c r="AD5" s="74">
        <f t="shared" si="6"/>
        <v>16.458070199999998</v>
      </c>
      <c r="AE5" s="74">
        <f t="shared" si="6"/>
        <v>18.738634199999996</v>
      </c>
      <c r="AF5" s="74">
        <f t="shared" si="6"/>
        <v>20.750208599999997</v>
      </c>
      <c r="AG5" s="74">
        <f t="shared" si="6"/>
        <v>21.916804800000001</v>
      </c>
      <c r="AH5" s="74">
        <f t="shared" si="6"/>
        <v>23.016153599999999</v>
      </c>
      <c r="AI5" s="55"/>
      <c r="AM5" s="30" t="str">
        <f t="shared" ref="AM5:AM11" si="7">AA5</f>
        <v>Motor Spirit (000 Tonnes)</v>
      </c>
      <c r="AN5" s="74">
        <f t="shared" ref="AN5:AT5" si="8">(C5*$C$49*$AC$51)/10^6</f>
        <v>1.3162416000000001</v>
      </c>
      <c r="AO5" s="74">
        <f t="shared" si="8"/>
        <v>1.4646586495999998</v>
      </c>
      <c r="AP5" s="74">
        <f t="shared" si="8"/>
        <v>1.5959340800000001</v>
      </c>
      <c r="AQ5" s="74">
        <f t="shared" si="8"/>
        <v>1.8170796799999998</v>
      </c>
      <c r="AR5" s="74">
        <f t="shared" si="8"/>
        <v>2.0121414399999997</v>
      </c>
      <c r="AS5" s="74">
        <f t="shared" si="8"/>
        <v>2.1252659199999999</v>
      </c>
      <c r="AT5" s="74">
        <f t="shared" si="8"/>
        <v>2.2318694400000001</v>
      </c>
      <c r="AW5" s="30" t="s">
        <v>48</v>
      </c>
      <c r="AX5" s="75">
        <f>N5+21*AB5+310*AN5</f>
        <v>29197.9406175</v>
      </c>
      <c r="AY5" s="75">
        <f t="shared" ref="AY5:BD5" si="9">O5+21*AC5+310*AO5</f>
        <v>32490.248200579994</v>
      </c>
      <c r="AZ5" s="75">
        <f t="shared" si="9"/>
        <v>35402.306458999999</v>
      </c>
      <c r="BA5" s="75">
        <f t="shared" si="9"/>
        <v>40307.937838999991</v>
      </c>
      <c r="BB5" s="75">
        <f t="shared" si="9"/>
        <v>44634.956286999994</v>
      </c>
      <c r="BC5" s="75">
        <f t="shared" si="9"/>
        <v>47144.375415999995</v>
      </c>
      <c r="BD5" s="75">
        <f t="shared" si="9"/>
        <v>49509.141311999992</v>
      </c>
    </row>
    <row r="6" spans="2:56" x14ac:dyDescent="0.25">
      <c r="B6" s="12" t="str">
        <f>'Raw Data'!B11</f>
        <v>HSDO (000 Tonnes)</v>
      </c>
      <c r="C6" s="73">
        <f>'Raw Data'!C12</f>
        <v>2110.5778665380017</v>
      </c>
      <c r="D6" s="74">
        <f>'Raw Data'!D12</f>
        <v>2345.42</v>
      </c>
      <c r="E6" s="74">
        <f>'Raw Data'!E12</f>
        <v>2379.4899999999998</v>
      </c>
      <c r="F6" s="74">
        <f>'Raw Data'!F12</f>
        <v>2434.27</v>
      </c>
      <c r="G6" s="74">
        <f>'Raw Data'!G12</f>
        <v>2483.41</v>
      </c>
      <c r="H6" s="74">
        <f>'Raw Data'!H12</f>
        <v>2558.39</v>
      </c>
      <c r="I6" s="74">
        <f>'Raw Data'!I12</f>
        <v>2207.17</v>
      </c>
      <c r="M6" s="12" t="str">
        <f t="shared" si="3"/>
        <v>HSDO (000 Tonnes)</v>
      </c>
      <c r="N6" s="73">
        <f t="shared" ref="N6:T6" si="10">(C6*$C$48*$C$68)/10^3</f>
        <v>6724.9342561500343</v>
      </c>
      <c r="O6" s="74">
        <f t="shared" si="10"/>
        <v>7473.211745999999</v>
      </c>
      <c r="P6" s="74">
        <f t="shared" si="10"/>
        <v>7581.7689869999986</v>
      </c>
      <c r="Q6" s="74">
        <f t="shared" si="10"/>
        <v>7756.3145009999989</v>
      </c>
      <c r="R6" s="74">
        <f t="shared" si="10"/>
        <v>7912.8892829999986</v>
      </c>
      <c r="S6" s="74">
        <f t="shared" si="10"/>
        <v>8151.7980569999982</v>
      </c>
      <c r="T6" s="74">
        <f t="shared" si="10"/>
        <v>7032.7057709999999</v>
      </c>
      <c r="AA6" s="12" t="str">
        <f t="shared" si="5"/>
        <v>HSDO (000 Tonnes)</v>
      </c>
      <c r="AB6" s="73">
        <f t="shared" ref="AB6:AH6" si="11">(C6*$C$48*$AB$52)/10^6</f>
        <v>0.35394390821842292</v>
      </c>
      <c r="AC6" s="74">
        <f t="shared" si="11"/>
        <v>0.39332693400000002</v>
      </c>
      <c r="AD6" s="74">
        <f t="shared" si="11"/>
        <v>0.39904047299999995</v>
      </c>
      <c r="AE6" s="74">
        <f t="shared" si="11"/>
        <v>0.40822707899999999</v>
      </c>
      <c r="AF6" s="74">
        <f t="shared" si="11"/>
        <v>0.41646785699999994</v>
      </c>
      <c r="AG6" s="74">
        <f t="shared" si="11"/>
        <v>0.42904200299999995</v>
      </c>
      <c r="AH6" s="74">
        <f t="shared" si="11"/>
        <v>0.37014240900000001</v>
      </c>
      <c r="AI6" s="55"/>
      <c r="AM6" s="30" t="str">
        <f t="shared" si="7"/>
        <v>HSDO (000 Tonnes)</v>
      </c>
      <c r="AN6" s="73">
        <f t="shared" ref="AN6:AT6" si="12">(C6*$C$48*$AC$52)/10^6</f>
        <v>0.35394390821842292</v>
      </c>
      <c r="AO6" s="74">
        <f t="shared" si="12"/>
        <v>0.39332693400000002</v>
      </c>
      <c r="AP6" s="74">
        <f t="shared" si="12"/>
        <v>0.39904047299999995</v>
      </c>
      <c r="AQ6" s="74">
        <f t="shared" si="12"/>
        <v>0.40822707899999999</v>
      </c>
      <c r="AR6" s="74">
        <f t="shared" si="12"/>
        <v>0.41646785699999994</v>
      </c>
      <c r="AS6" s="74">
        <f t="shared" si="12"/>
        <v>0.42904200299999995</v>
      </c>
      <c r="AT6" s="74">
        <f t="shared" si="12"/>
        <v>0.37014240900000001</v>
      </c>
      <c r="AW6" s="30" t="s">
        <v>37</v>
      </c>
      <c r="AX6" s="75">
        <f t="shared" ref="AX6:AX11" si="13">N6+21*AB6+310*AN6</f>
        <v>6842.0896897703324</v>
      </c>
      <c r="AY6" s="75">
        <f t="shared" ref="AY6:AY11" si="14">O6+21*AC6+310*AO6</f>
        <v>7603.4029611539991</v>
      </c>
      <c r="AZ6" s="75">
        <f t="shared" ref="AZ6:AZ11" si="15">P6+21*AD6+310*AP6</f>
        <v>7713.8513835629983</v>
      </c>
      <c r="BA6" s="75">
        <f t="shared" ref="BA6:BA11" si="16">Q6+21*AE6+310*AQ6</f>
        <v>7891.4376641489989</v>
      </c>
      <c r="BB6" s="75">
        <f t="shared" ref="BB6:BB11" si="17">R6+21*AF6+310*AR6</f>
        <v>8050.7401436669979</v>
      </c>
      <c r="BC6" s="75">
        <f t="shared" ref="BC6:BC11" si="18">S6+21*AG6+310*AS6</f>
        <v>8293.8109599929976</v>
      </c>
      <c r="BD6" s="75">
        <f t="shared" ref="BD6:BD11" si="19">T6+21*AH6+310*AT6</f>
        <v>7155.2229083789998</v>
      </c>
    </row>
    <row r="7" spans="2:56" x14ac:dyDescent="0.25">
      <c r="B7" s="12" t="str">
        <f>'Raw Data'!B6</f>
        <v>Auto LPG (000 Tonnes)</v>
      </c>
      <c r="C7" s="73">
        <f>'Raw Data'!C6</f>
        <v>179.1667981915331</v>
      </c>
      <c r="D7" s="74">
        <f>'Raw Data'!D6</f>
        <v>200.9</v>
      </c>
      <c r="E7" s="74">
        <f>'Raw Data'!E6</f>
        <v>181.16</v>
      </c>
      <c r="F7" s="74">
        <f>'Raw Data'!F6</f>
        <v>224.52</v>
      </c>
      <c r="G7" s="74">
        <f>'Raw Data'!G6</f>
        <v>223.01</v>
      </c>
      <c r="H7" s="74">
        <f>'Raw Data'!H6</f>
        <v>222.84</v>
      </c>
      <c r="I7" s="74">
        <f>'Raw Data'!I6</f>
        <v>214</v>
      </c>
      <c r="M7" s="12" t="str">
        <f t="shared" si="3"/>
        <v>Auto LPG (000 Tonnes)</v>
      </c>
      <c r="N7" s="73">
        <f t="shared" ref="N7:T7" si="20">(C7*$C$52*$C$69)/10^3</f>
        <v>534.74660088639541</v>
      </c>
      <c r="O7" s="74">
        <f t="shared" si="20"/>
        <v>599.612167</v>
      </c>
      <c r="P7" s="74">
        <f t="shared" si="20"/>
        <v>540.69557079999981</v>
      </c>
      <c r="Q7" s="74">
        <f t="shared" si="20"/>
        <v>670.10912759999997</v>
      </c>
      <c r="R7" s="74">
        <f t="shared" si="20"/>
        <v>665.60233629999993</v>
      </c>
      <c r="S7" s="74">
        <f t="shared" si="20"/>
        <v>665.09494920000009</v>
      </c>
      <c r="T7" s="74">
        <f t="shared" si="20"/>
        <v>638.7108199999999</v>
      </c>
      <c r="AA7" s="12" t="str">
        <f t="shared" si="5"/>
        <v>Auto LPG (000 Tonnes)</v>
      </c>
      <c r="AB7" s="73">
        <f t="shared" ref="AB7:AH7" si="21">(C7*$C$52*$AB$54)/10^6</f>
        <v>0.52542455237648999</v>
      </c>
      <c r="AC7" s="74">
        <f t="shared" si="21"/>
        <v>0.58915933999999992</v>
      </c>
      <c r="AD7" s="74">
        <f t="shared" si="21"/>
        <v>0.53126981599999989</v>
      </c>
      <c r="AE7" s="74">
        <f t="shared" si="21"/>
        <v>0.65842735200000002</v>
      </c>
      <c r="AF7" s="74">
        <f t="shared" si="21"/>
        <v>0.65399912599999999</v>
      </c>
      <c r="AG7" s="74">
        <f t="shared" si="21"/>
        <v>0.653500584</v>
      </c>
      <c r="AH7" s="74">
        <f t="shared" si="21"/>
        <v>0.62757639999999992</v>
      </c>
      <c r="AI7" s="55"/>
      <c r="AM7" s="30" t="str">
        <f t="shared" si="7"/>
        <v>Auto LPG (000 Tonnes)</v>
      </c>
      <c r="AN7" s="73">
        <f t="shared" ref="AN7:AT7" si="22">(C7*$C$52*$AC$54)/10^6</f>
        <v>1.6949179108919031E-3</v>
      </c>
      <c r="AO7" s="74">
        <f t="shared" si="22"/>
        <v>1.9005140000000001E-3</v>
      </c>
      <c r="AP7" s="74">
        <f t="shared" si="22"/>
        <v>1.7137735999999998E-3</v>
      </c>
      <c r="AQ7" s="74">
        <f t="shared" si="22"/>
        <v>2.1239592000000004E-3</v>
      </c>
      <c r="AR7" s="74">
        <f t="shared" si="22"/>
        <v>2.1096746E-3</v>
      </c>
      <c r="AS7" s="74">
        <f t="shared" si="22"/>
        <v>2.1080664000000002E-3</v>
      </c>
      <c r="AT7" s="74">
        <f t="shared" si="22"/>
        <v>2.0244399999999997E-3</v>
      </c>
      <c r="AW7" s="30" t="s">
        <v>101</v>
      </c>
      <c r="AX7" s="75">
        <f t="shared" si="13"/>
        <v>546.30594103867827</v>
      </c>
      <c r="AY7" s="75">
        <f t="shared" si="14"/>
        <v>612.57367248000003</v>
      </c>
      <c r="AZ7" s="75">
        <f t="shared" si="15"/>
        <v>552.38350675199979</v>
      </c>
      <c r="BA7" s="75">
        <f t="shared" si="16"/>
        <v>684.59452934399997</v>
      </c>
      <c r="BB7" s="75">
        <f t="shared" si="17"/>
        <v>679.99031707199993</v>
      </c>
      <c r="BC7" s="75">
        <f t="shared" si="18"/>
        <v>679.47196204800002</v>
      </c>
      <c r="BD7" s="75">
        <f t="shared" si="19"/>
        <v>652.51750079999988</v>
      </c>
    </row>
    <row r="8" spans="2:56" x14ac:dyDescent="0.25">
      <c r="B8" s="12" t="str">
        <f>'Raw Data'!B20</f>
        <v>LDO (000 Tonnes)</v>
      </c>
      <c r="C8" s="76">
        <f>'Raw Data'!C21</f>
        <v>0</v>
      </c>
      <c r="D8" s="77">
        <f>'Raw Data'!D21</f>
        <v>0</v>
      </c>
      <c r="E8" s="77">
        <f>'Raw Data'!E21</f>
        <v>0</v>
      </c>
      <c r="F8" s="77">
        <f>'Raw Data'!F21</f>
        <v>0</v>
      </c>
      <c r="G8" s="77">
        <f>'Raw Data'!G21</f>
        <v>0</v>
      </c>
      <c r="H8" s="77">
        <f>'Raw Data'!H21</f>
        <v>0.01</v>
      </c>
      <c r="I8" s="77">
        <f>'Raw Data'!I21</f>
        <v>0.02</v>
      </c>
      <c r="M8" s="12" t="str">
        <f t="shared" si="3"/>
        <v>LDO (000 Tonnes)</v>
      </c>
      <c r="N8" s="78">
        <f t="shared" ref="N8:T8" si="23">(C8*$C$56*$C$73)/10^3</f>
        <v>0</v>
      </c>
      <c r="O8" s="79">
        <f t="shared" si="23"/>
        <v>0</v>
      </c>
      <c r="P8" s="79">
        <f t="shared" si="23"/>
        <v>0</v>
      </c>
      <c r="Q8" s="79">
        <f t="shared" si="23"/>
        <v>0</v>
      </c>
      <c r="R8" s="79">
        <f t="shared" si="23"/>
        <v>0</v>
      </c>
      <c r="S8" s="79">
        <f t="shared" si="23"/>
        <v>3.1862999999999995E-2</v>
      </c>
      <c r="T8" s="79">
        <f t="shared" si="23"/>
        <v>6.3725999999999991E-2</v>
      </c>
      <c r="AA8" s="12" t="str">
        <f t="shared" si="5"/>
        <v>LDO (000 Tonnes)</v>
      </c>
      <c r="AB8" s="73">
        <f t="shared" ref="AB8:AH8" si="24">(C8*$C$56*$AB$55)/10^6</f>
        <v>0</v>
      </c>
      <c r="AC8" s="74">
        <f>(D8*$C$56*$AB$55)/10^6</f>
        <v>0</v>
      </c>
      <c r="AD8" s="74">
        <f t="shared" si="24"/>
        <v>0</v>
      </c>
      <c r="AE8" s="74">
        <f t="shared" si="24"/>
        <v>0</v>
      </c>
      <c r="AF8" s="74">
        <f t="shared" si="24"/>
        <v>0</v>
      </c>
      <c r="AG8" s="74">
        <f t="shared" si="24"/>
        <v>4.2999999999999995E-6</v>
      </c>
      <c r="AH8" s="74">
        <f t="shared" si="24"/>
        <v>8.599999999999999E-6</v>
      </c>
      <c r="AI8" s="55"/>
      <c r="AM8" s="30" t="str">
        <f t="shared" si="7"/>
        <v>LDO (000 Tonnes)</v>
      </c>
      <c r="AN8" s="73">
        <f t="shared" ref="AN8:AT8" si="25">(C8*$C$56*$AC$55)/10^6</f>
        <v>0</v>
      </c>
      <c r="AO8" s="74">
        <f t="shared" si="25"/>
        <v>0</v>
      </c>
      <c r="AP8" s="74">
        <f t="shared" si="25"/>
        <v>0</v>
      </c>
      <c r="AQ8" s="74">
        <f t="shared" si="25"/>
        <v>0</v>
      </c>
      <c r="AR8" s="74">
        <f t="shared" si="25"/>
        <v>0</v>
      </c>
      <c r="AS8" s="74">
        <f t="shared" si="25"/>
        <v>2.5800000000000001E-7</v>
      </c>
      <c r="AT8" s="74">
        <f t="shared" si="25"/>
        <v>5.1600000000000001E-7</v>
      </c>
      <c r="AW8" s="30" t="s">
        <v>40</v>
      </c>
      <c r="AX8" s="75">
        <f t="shared" si="13"/>
        <v>0</v>
      </c>
      <c r="AY8" s="75">
        <f t="shared" si="14"/>
        <v>0</v>
      </c>
      <c r="AZ8" s="75">
        <f t="shared" si="15"/>
        <v>0</v>
      </c>
      <c r="BA8" s="75">
        <f t="shared" si="16"/>
        <v>0</v>
      </c>
      <c r="BB8" s="75">
        <f t="shared" si="17"/>
        <v>0</v>
      </c>
      <c r="BC8" s="75">
        <f t="shared" si="18"/>
        <v>3.2033279999999997E-2</v>
      </c>
      <c r="BD8" s="75">
        <f t="shared" si="19"/>
        <v>6.4066559999999995E-2</v>
      </c>
    </row>
    <row r="9" spans="2:56" x14ac:dyDescent="0.25">
      <c r="B9" s="12" t="str">
        <f>'Raw Data'!B27</f>
        <v>Furnace Oil (000 Tonnes)</v>
      </c>
      <c r="C9" s="73">
        <f>'Raw Data'!C28</f>
        <v>53.621971697116919</v>
      </c>
      <c r="D9" s="74">
        <f>'Raw Data'!D28</f>
        <v>54.85</v>
      </c>
      <c r="E9" s="74">
        <f>'Raw Data'!E28</f>
        <v>33.53</v>
      </c>
      <c r="F9" s="74">
        <f>'Raw Data'!F28</f>
        <v>0.22</v>
      </c>
      <c r="G9" s="74">
        <f>'Raw Data'!G28</f>
        <v>0.09</v>
      </c>
      <c r="H9" s="74">
        <f>'Raw Data'!H28</f>
        <v>0.67</v>
      </c>
      <c r="I9" s="74">
        <f>'Raw Data'!I28</f>
        <v>1.35</v>
      </c>
      <c r="M9" s="12" t="str">
        <f t="shared" si="3"/>
        <v>Furnace Oil (000 Tonnes)</v>
      </c>
      <c r="N9" s="73">
        <f t="shared" ref="N9:T9" si="26">(C9*$C$54*$C$71)/10^3</f>
        <v>166.8021890900518</v>
      </c>
      <c r="O9" s="74">
        <f t="shared" si="26"/>
        <v>170.62222409999998</v>
      </c>
      <c r="P9" s="74">
        <f t="shared" si="26"/>
        <v>104.30197218000001</v>
      </c>
      <c r="Q9" s="74">
        <f t="shared" si="26"/>
        <v>0.68435531999999999</v>
      </c>
      <c r="R9" s="74">
        <f t="shared" si="26"/>
        <v>0.27996354000000001</v>
      </c>
      <c r="S9" s="74">
        <f t="shared" si="26"/>
        <v>2.0841730200000002</v>
      </c>
      <c r="T9" s="74">
        <f t="shared" si="26"/>
        <v>4.1994531000000004</v>
      </c>
      <c r="AA9" s="12" t="str">
        <f t="shared" si="5"/>
        <v>Furnace Oil (000 Tonnes)</v>
      </c>
      <c r="AB9" s="73">
        <f t="shared" ref="AB9:AH9" si="27">(C9*$C$54*$AB$56)/10^6</f>
        <v>6.4652011275213861E-3</v>
      </c>
      <c r="AC9" s="74">
        <f t="shared" si="27"/>
        <v>6.6132644999999995E-3</v>
      </c>
      <c r="AD9" s="74">
        <f t="shared" si="27"/>
        <v>4.0427121E-3</v>
      </c>
      <c r="AE9" s="74">
        <f t="shared" si="27"/>
        <v>2.6525399999999998E-5</v>
      </c>
      <c r="AF9" s="74">
        <f t="shared" si="27"/>
        <v>1.0851299999999999E-5</v>
      </c>
      <c r="AG9" s="74">
        <f t="shared" si="27"/>
        <v>8.0781899999999993E-5</v>
      </c>
      <c r="AH9" s="74">
        <f t="shared" si="27"/>
        <v>1.6276949999999998E-4</v>
      </c>
      <c r="AI9" s="55"/>
      <c r="AM9" s="30" t="str">
        <f t="shared" si="7"/>
        <v>Furnace Oil (000 Tonnes)</v>
      </c>
      <c r="AN9" s="73">
        <f t="shared" ref="AN9:AT9" si="28">(C9*$C$54*$AC$56)/10^6</f>
        <v>1.2930402255042772E-3</v>
      </c>
      <c r="AO9" s="74">
        <f t="shared" si="28"/>
        <v>1.3226528999999998E-3</v>
      </c>
      <c r="AP9" s="74">
        <f t="shared" si="28"/>
        <v>8.0854242000000004E-4</v>
      </c>
      <c r="AQ9" s="74">
        <f t="shared" si="28"/>
        <v>5.3050799999999997E-6</v>
      </c>
      <c r="AR9" s="74">
        <f t="shared" si="28"/>
        <v>2.17026E-6</v>
      </c>
      <c r="AS9" s="74">
        <f t="shared" si="28"/>
        <v>1.6156379999999999E-5</v>
      </c>
      <c r="AT9" s="74">
        <f t="shared" si="28"/>
        <v>3.25539E-5</v>
      </c>
      <c r="AW9" s="30" t="s">
        <v>41</v>
      </c>
      <c r="AX9" s="75">
        <f t="shared" si="13"/>
        <v>167.33880078363609</v>
      </c>
      <c r="AY9" s="75">
        <f t="shared" si="14"/>
        <v>171.17112505349999</v>
      </c>
      <c r="AZ9" s="75">
        <f t="shared" si="15"/>
        <v>104.63751728430002</v>
      </c>
      <c r="BA9" s="75">
        <f t="shared" si="16"/>
        <v>0.68655692820000003</v>
      </c>
      <c r="BB9" s="75">
        <f t="shared" si="17"/>
        <v>0.2808641979</v>
      </c>
      <c r="BC9" s="75">
        <f t="shared" si="18"/>
        <v>2.0908779177000003</v>
      </c>
      <c r="BD9" s="75">
        <f t="shared" si="19"/>
        <v>4.2129629685000003</v>
      </c>
    </row>
    <row r="10" spans="2:56" x14ac:dyDescent="0.25">
      <c r="B10" s="12" t="str">
        <f>'Raw Data'!B71</f>
        <v>CNG (Million Cubic Meter) MCM</v>
      </c>
      <c r="C10" s="80">
        <f>'Raw Data'!C71*$C$75</f>
        <v>608.74910500771432</v>
      </c>
      <c r="D10" s="80">
        <f>'Raw Data'!D71*$C$75</f>
        <v>690.32070726556719</v>
      </c>
      <c r="E10" s="80">
        <f>'Raw Data'!E71*$C$75</f>
        <v>782.8227999999998</v>
      </c>
      <c r="F10" s="81">
        <f>'Raw Data'!F71*$C$75</f>
        <v>1109.5999999999999</v>
      </c>
      <c r="G10" s="81">
        <f>'Raw Data'!G71*$C$75</f>
        <v>1229.9916000000001</v>
      </c>
      <c r="H10" s="81">
        <f>'Raw Data'!H71*$C$75</f>
        <v>1620.0159999999996</v>
      </c>
      <c r="I10" s="81">
        <f>'Raw Data'!I71*$C$75</f>
        <v>1468.0007999999989</v>
      </c>
      <c r="M10" s="12" t="str">
        <f t="shared" si="3"/>
        <v>CNG (Million Cubic Meter) MCM</v>
      </c>
      <c r="N10" s="80">
        <f t="shared" ref="N10:T10" si="29">(C10*$C$51*$C$70)/10^3</f>
        <v>1639.2395899647734</v>
      </c>
      <c r="O10" s="80">
        <f t="shared" si="29"/>
        <v>1858.8956005247194</v>
      </c>
      <c r="P10" s="80">
        <f t="shared" si="29"/>
        <v>2107.9852358399994</v>
      </c>
      <c r="Q10" s="81">
        <f t="shared" si="29"/>
        <v>2987.9308799999999</v>
      </c>
      <c r="R10" s="81">
        <f t="shared" si="29"/>
        <v>3312.12138048</v>
      </c>
      <c r="S10" s="81">
        <f t="shared" si="29"/>
        <v>4362.379084799999</v>
      </c>
      <c r="T10" s="81">
        <f t="shared" si="29"/>
        <v>3953.0325542399974</v>
      </c>
      <c r="AA10" s="12" t="str">
        <f t="shared" si="5"/>
        <v>CNG (Million Cubic Meter) MCM</v>
      </c>
      <c r="AB10" s="73">
        <f t="shared" ref="AB10:AH10" si="30">(C10*$C$51*$AB$53)/10^6</f>
        <v>2.6882360477140668</v>
      </c>
      <c r="AC10" s="73">
        <f t="shared" si="30"/>
        <v>3.0484562432847446</v>
      </c>
      <c r="AD10" s="73">
        <f t="shared" si="30"/>
        <v>3.456945484799999</v>
      </c>
      <c r="AE10" s="74">
        <f t="shared" si="30"/>
        <v>4.8999935999999993</v>
      </c>
      <c r="AF10" s="74">
        <f t="shared" si="30"/>
        <v>5.4316429056000004</v>
      </c>
      <c r="AG10" s="74">
        <f t="shared" si="30"/>
        <v>7.1539906559999986</v>
      </c>
      <c r="AH10" s="74">
        <f t="shared" si="30"/>
        <v>6.4826915327999952</v>
      </c>
      <c r="AI10" s="55"/>
      <c r="AM10" s="30" t="str">
        <f t="shared" si="7"/>
        <v>CNG (Million Cubic Meter) MCM</v>
      </c>
      <c r="AN10" s="73">
        <f t="shared" ref="AN10:AT10" si="31">(C10*$C$51*$AC$53)/10^6</f>
        <v>8.7659871121110858E-2</v>
      </c>
      <c r="AO10" s="73">
        <f t="shared" si="31"/>
        <v>9.940618184624167E-2</v>
      </c>
      <c r="AP10" s="73">
        <f t="shared" si="31"/>
        <v>0.11272648319999996</v>
      </c>
      <c r="AQ10" s="74">
        <f t="shared" si="31"/>
        <v>0.15978239999999999</v>
      </c>
      <c r="AR10" s="74">
        <f t="shared" si="31"/>
        <v>0.1771187904</v>
      </c>
      <c r="AS10" s="74">
        <f t="shared" si="31"/>
        <v>0.23328230399999994</v>
      </c>
      <c r="AT10" s="74">
        <f t="shared" si="31"/>
        <v>0.21139211519999981</v>
      </c>
      <c r="AW10" s="30" t="s">
        <v>83</v>
      </c>
      <c r="AX10" s="75">
        <f t="shared" si="13"/>
        <v>1722.8671070143132</v>
      </c>
      <c r="AY10" s="75">
        <f t="shared" si="14"/>
        <v>1953.7290980060338</v>
      </c>
      <c r="AZ10" s="75">
        <f t="shared" si="15"/>
        <v>2215.526300812799</v>
      </c>
      <c r="BA10" s="75">
        <f t="shared" si="16"/>
        <v>3140.3632895999999</v>
      </c>
      <c r="BB10" s="75">
        <f t="shared" si="17"/>
        <v>3481.0927065216001</v>
      </c>
      <c r="BC10" s="75">
        <f t="shared" si="18"/>
        <v>4584.9304028159986</v>
      </c>
      <c r="BD10" s="75">
        <f t="shared" si="19"/>
        <v>4154.7006321407971</v>
      </c>
    </row>
    <row r="11" spans="2:56" x14ac:dyDescent="0.25">
      <c r="B11" s="12" t="s">
        <v>129</v>
      </c>
      <c r="C11" s="80">
        <f>'Raw Data'!C16</f>
        <v>28048.885381439995</v>
      </c>
      <c r="D11" s="80">
        <f>'Raw Data'!D16</f>
        <v>31227.195371428574</v>
      </c>
      <c r="E11" s="80">
        <f>'Raw Data'!E16</f>
        <v>29652.449577142859</v>
      </c>
      <c r="F11" s="80">
        <f>'Raw Data'!F16</f>
        <v>32302.88266857143</v>
      </c>
      <c r="G11" s="80">
        <f>'Raw Data'!G16</f>
        <v>34929.216274285711</v>
      </c>
      <c r="H11" s="80">
        <f>'Raw Data'!H16</f>
        <v>40831.807999999997</v>
      </c>
      <c r="I11" s="80">
        <f>'Raw Data'!I16</f>
        <v>44410.976000000002</v>
      </c>
      <c r="M11" s="12" t="str">
        <f>B11</f>
        <v>HSDO(000 Tonnes) - Retail</v>
      </c>
      <c r="N11" s="80">
        <f t="shared" ref="N11:T11" si="32">(C11*$C$48*$C$68)/10^3</f>
        <v>89372.163490882245</v>
      </c>
      <c r="O11" s="80">
        <f t="shared" si="32"/>
        <v>99499.212611982861</v>
      </c>
      <c r="P11" s="80">
        <f t="shared" si="32"/>
        <v>94481.60008765028</v>
      </c>
      <c r="Q11" s="80">
        <f t="shared" si="32"/>
        <v>102926.67504686913</v>
      </c>
      <c r="R11" s="80">
        <f t="shared" si="32"/>
        <v>111294.96181475656</v>
      </c>
      <c r="S11" s="80">
        <f t="shared" si="32"/>
        <v>130102.38983039999</v>
      </c>
      <c r="T11" s="80">
        <f t="shared" si="32"/>
        <v>141506.69282880001</v>
      </c>
      <c r="AA11" s="15" t="str">
        <f>B11</f>
        <v>HSDO(000 Tonnes) - Retail</v>
      </c>
      <c r="AB11" s="73">
        <f t="shared" ref="AB11:AH11" si="33">(C11*$C$48*$AB$52)/10^6</f>
        <v>4.7037980784674867</v>
      </c>
      <c r="AC11" s="73">
        <f t="shared" si="33"/>
        <v>5.2368006637885722</v>
      </c>
      <c r="AD11" s="73">
        <f t="shared" si="33"/>
        <v>4.9727157940868567</v>
      </c>
      <c r="AE11" s="73">
        <f t="shared" si="33"/>
        <v>5.4171934235194277</v>
      </c>
      <c r="AF11" s="73">
        <f t="shared" si="33"/>
        <v>5.8576295691977132</v>
      </c>
      <c r="AG11" s="73">
        <f t="shared" si="33"/>
        <v>6.8474942015999991</v>
      </c>
      <c r="AH11" s="73">
        <f t="shared" si="33"/>
        <v>7.4477206752000003</v>
      </c>
      <c r="AI11" s="55"/>
      <c r="AM11" s="30" t="str">
        <f t="shared" si="7"/>
        <v>HSDO(000 Tonnes) - Retail</v>
      </c>
      <c r="AN11" s="73">
        <f t="shared" ref="AN11:AT11" si="34">(C11*$C$48*$AC$52)/10^6</f>
        <v>4.7037980784674867</v>
      </c>
      <c r="AO11" s="73">
        <f t="shared" si="34"/>
        <v>5.2368006637885722</v>
      </c>
      <c r="AP11" s="73">
        <f t="shared" si="34"/>
        <v>4.9727157940868567</v>
      </c>
      <c r="AQ11" s="73">
        <f t="shared" si="34"/>
        <v>5.4171934235194277</v>
      </c>
      <c r="AR11" s="73">
        <f t="shared" si="34"/>
        <v>5.8576295691977132</v>
      </c>
      <c r="AS11" s="73">
        <f t="shared" si="34"/>
        <v>6.8474942015999991</v>
      </c>
      <c r="AT11" s="73">
        <f t="shared" si="34"/>
        <v>7.4477206752000003</v>
      </c>
      <c r="AW11" s="30" t="s">
        <v>129</v>
      </c>
      <c r="AX11" s="75">
        <f t="shared" si="13"/>
        <v>90929.120654854982</v>
      </c>
      <c r="AY11" s="75">
        <f t="shared" si="14"/>
        <v>101232.59363169687</v>
      </c>
      <c r="AZ11" s="75">
        <f t="shared" si="15"/>
        <v>96127.56901549302</v>
      </c>
      <c r="BA11" s="75">
        <f t="shared" si="16"/>
        <v>104719.76607005406</v>
      </c>
      <c r="BB11" s="75">
        <f t="shared" si="17"/>
        <v>113233.837202161</v>
      </c>
      <c r="BC11" s="75">
        <f t="shared" si="18"/>
        <v>132368.91041112959</v>
      </c>
      <c r="BD11" s="75">
        <f t="shared" si="19"/>
        <v>143971.8883722912</v>
      </c>
    </row>
    <row r="12" spans="2:56" x14ac:dyDescent="0.25">
      <c r="C12" s="10"/>
      <c r="D12" s="10"/>
      <c r="E12" s="10"/>
      <c r="F12" s="10"/>
      <c r="G12" s="10"/>
      <c r="H12" s="10"/>
      <c r="I12" s="10"/>
      <c r="M12" s="30" t="s">
        <v>4</v>
      </c>
      <c r="N12" s="54">
        <f>SUM(N5:N11)</f>
        <v>126942.74327697349</v>
      </c>
      <c r="O12" s="54">
        <f t="shared" ref="O12:T12" si="35">SUM(O5:O11)</f>
        <v>141320.56823000757</v>
      </c>
      <c r="P12" s="54">
        <f t="shared" si="35"/>
        <v>139378.29927347027</v>
      </c>
      <c r="Q12" s="54">
        <f t="shared" si="35"/>
        <v>153692.84573078912</v>
      </c>
      <c r="R12" s="54">
        <f t="shared" si="35"/>
        <v>166761.29283807654</v>
      </c>
      <c r="S12" s="54">
        <f t="shared" si="35"/>
        <v>189309.06803741999</v>
      </c>
      <c r="T12" s="54">
        <f t="shared" si="35"/>
        <v>201469.32771314</v>
      </c>
      <c r="V12" s="82"/>
      <c r="AA12" s="30" t="s">
        <v>4</v>
      </c>
      <c r="AB12" s="54">
        <f>SUM(AB5:AB11)</f>
        <v>21.851609287903987</v>
      </c>
      <c r="AC12" s="54">
        <f t="shared" ref="AC12:AH12" si="36">SUM(AC5:AC11)</f>
        <v>24.37864876957331</v>
      </c>
      <c r="AD12" s="54">
        <f t="shared" si="36"/>
        <v>25.822084479986849</v>
      </c>
      <c r="AE12" s="54">
        <f t="shared" si="36"/>
        <v>30.122502179919422</v>
      </c>
      <c r="AF12" s="54">
        <f t="shared" si="36"/>
        <v>33.109958909097713</v>
      </c>
      <c r="AG12" s="54">
        <f t="shared" si="36"/>
        <v>37.000917326499994</v>
      </c>
      <c r="AH12" s="54">
        <f t="shared" si="36"/>
        <v>37.944455986499996</v>
      </c>
      <c r="AM12" s="33" t="s">
        <v>4</v>
      </c>
      <c r="AN12" s="54">
        <f>SUM(AN5:AN11)</f>
        <v>6.4646314159434164</v>
      </c>
      <c r="AO12" s="54">
        <f t="shared" ref="AO12:AT12" si="37">SUM(AO5:AO11)</f>
        <v>7.1974155961348139</v>
      </c>
      <c r="AP12" s="54">
        <f t="shared" si="37"/>
        <v>7.0829391463068561</v>
      </c>
      <c r="AQ12" s="54">
        <f t="shared" si="37"/>
        <v>7.804411846799427</v>
      </c>
      <c r="AR12" s="54">
        <f t="shared" si="37"/>
        <v>8.4654695014577115</v>
      </c>
      <c r="AS12" s="54">
        <f t="shared" si="37"/>
        <v>9.6372089093799982</v>
      </c>
      <c r="AT12" s="54">
        <f t="shared" si="37"/>
        <v>10.2631821493</v>
      </c>
      <c r="AW12" s="33" t="s">
        <v>4</v>
      </c>
      <c r="AX12" s="75">
        <f>SUM(AX5:AX11)</f>
        <v>129405.66281096193</v>
      </c>
      <c r="AY12" s="75">
        <f t="shared" ref="AY12:BD12" si="38">SUM(AY5:AY11)</f>
        <v>144063.7186889704</v>
      </c>
      <c r="AZ12" s="75">
        <f t="shared" si="38"/>
        <v>142116.27418290512</v>
      </c>
      <c r="BA12" s="75">
        <f t="shared" si="38"/>
        <v>156744.78594907525</v>
      </c>
      <c r="BB12" s="75">
        <f t="shared" si="38"/>
        <v>170080.8975206195</v>
      </c>
      <c r="BC12" s="75">
        <f t="shared" si="38"/>
        <v>193073.62206318427</v>
      </c>
      <c r="BD12" s="75">
        <f t="shared" si="38"/>
        <v>205447.74775513948</v>
      </c>
    </row>
    <row r="13" spans="2:56" x14ac:dyDescent="0.25">
      <c r="AA13" s="32" t="s">
        <v>115</v>
      </c>
    </row>
    <row r="14" spans="2:56" x14ac:dyDescent="0.25">
      <c r="N14" s="52">
        <f>N12/Summary!D18</f>
        <v>1.0472873194427361</v>
      </c>
      <c r="P14" s="82"/>
      <c r="Q14" s="52">
        <f>Q12/Summary!D27</f>
        <v>0.951636685294449</v>
      </c>
      <c r="AB14" s="52">
        <f>AB12/Summary!E18</f>
        <v>0.95006996903930374</v>
      </c>
      <c r="AE14" s="52">
        <f>AE12/Summary!E27</f>
        <v>1.2160880976955761</v>
      </c>
      <c r="AN14" s="52">
        <f>AN12/Summary!F18</f>
        <v>1.0774385693239028</v>
      </c>
      <c r="AQ14" s="52">
        <f>AQ12/Summary!F27</f>
        <v>1.0546502495674901</v>
      </c>
      <c r="AX14" s="52"/>
      <c r="BA14" s="52"/>
    </row>
    <row r="17" spans="2:56" s="69" customFormat="1" x14ac:dyDescent="0.25">
      <c r="B17" s="68" t="s">
        <v>32</v>
      </c>
      <c r="C17" s="68" t="str">
        <f t="shared" ref="C17:I17" si="39">C4</f>
        <v>2006-07</v>
      </c>
      <c r="D17" s="68" t="str">
        <f t="shared" si="39"/>
        <v>2007-08</v>
      </c>
      <c r="E17" s="68" t="str">
        <f t="shared" si="39"/>
        <v>2008-09</v>
      </c>
      <c r="F17" s="68" t="str">
        <f t="shared" si="39"/>
        <v>2009-10</v>
      </c>
      <c r="G17" s="68" t="str">
        <f t="shared" si="39"/>
        <v>2010-11</v>
      </c>
      <c r="H17" s="68" t="str">
        <f t="shared" si="39"/>
        <v>2011-12</v>
      </c>
      <c r="I17" s="68" t="str">
        <f t="shared" si="39"/>
        <v>2012-13</v>
      </c>
      <c r="M17" s="68" t="str">
        <f>B17</f>
        <v>Railways</v>
      </c>
      <c r="N17" s="70" t="str">
        <f t="shared" ref="N17:T17" si="40">C17</f>
        <v>2006-07</v>
      </c>
      <c r="O17" s="70" t="str">
        <f t="shared" si="40"/>
        <v>2007-08</v>
      </c>
      <c r="P17" s="70" t="str">
        <f t="shared" si="40"/>
        <v>2008-09</v>
      </c>
      <c r="Q17" s="70" t="str">
        <f t="shared" si="40"/>
        <v>2009-10</v>
      </c>
      <c r="R17" s="70" t="str">
        <f t="shared" si="40"/>
        <v>2010-11</v>
      </c>
      <c r="S17" s="70" t="str">
        <f t="shared" si="40"/>
        <v>2011-12</v>
      </c>
      <c r="T17" s="70" t="str">
        <f t="shared" si="40"/>
        <v>2012-13</v>
      </c>
      <c r="AA17" s="68" t="str">
        <f>M17</f>
        <v>Railways</v>
      </c>
      <c r="AB17" s="68" t="str">
        <f>N17</f>
        <v>2006-07</v>
      </c>
      <c r="AC17" s="68" t="str">
        <f t="shared" ref="AC17:AH17" si="41">O17</f>
        <v>2007-08</v>
      </c>
      <c r="AD17" s="68" t="str">
        <f t="shared" si="41"/>
        <v>2008-09</v>
      </c>
      <c r="AE17" s="68" t="str">
        <f t="shared" si="41"/>
        <v>2009-10</v>
      </c>
      <c r="AF17" s="68" t="str">
        <f t="shared" si="41"/>
        <v>2010-11</v>
      </c>
      <c r="AG17" s="68" t="str">
        <f t="shared" si="41"/>
        <v>2011-12</v>
      </c>
      <c r="AH17" s="68" t="str">
        <f t="shared" si="41"/>
        <v>2012-13</v>
      </c>
      <c r="AM17" s="68" t="str">
        <f>AA17</f>
        <v>Railways</v>
      </c>
      <c r="AN17" s="68" t="str">
        <f t="shared" ref="AN17:AT17" si="42">AB17</f>
        <v>2006-07</v>
      </c>
      <c r="AO17" s="68" t="str">
        <f t="shared" si="42"/>
        <v>2007-08</v>
      </c>
      <c r="AP17" s="68" t="str">
        <f t="shared" si="42"/>
        <v>2008-09</v>
      </c>
      <c r="AQ17" s="68" t="str">
        <f t="shared" si="42"/>
        <v>2009-10</v>
      </c>
      <c r="AR17" s="68" t="str">
        <f t="shared" si="42"/>
        <v>2010-11</v>
      </c>
      <c r="AS17" s="68" t="str">
        <f t="shared" si="42"/>
        <v>2011-12</v>
      </c>
      <c r="AT17" s="68" t="str">
        <f t="shared" si="42"/>
        <v>2012-13</v>
      </c>
      <c r="AW17" s="68" t="s">
        <v>32</v>
      </c>
      <c r="AX17" s="68">
        <f t="shared" ref="AX17" si="43">AL17</f>
        <v>0</v>
      </c>
      <c r="AY17" s="68" t="str">
        <f t="shared" ref="AY17" si="44">AM17</f>
        <v>Railways</v>
      </c>
      <c r="AZ17" s="68" t="str">
        <f t="shared" ref="AZ17" si="45">AN17</f>
        <v>2006-07</v>
      </c>
      <c r="BA17" s="68" t="str">
        <f t="shared" ref="BA17" si="46">AO17</f>
        <v>2007-08</v>
      </c>
      <c r="BB17" s="68" t="str">
        <f t="shared" ref="BB17" si="47">AP17</f>
        <v>2008-09</v>
      </c>
      <c r="BC17" s="68" t="str">
        <f t="shared" ref="BC17" si="48">AQ17</f>
        <v>2009-10</v>
      </c>
      <c r="BD17" s="68" t="str">
        <f t="shared" ref="BD17" si="49">AR17</f>
        <v>2010-11</v>
      </c>
    </row>
    <row r="18" spans="2:56" x14ac:dyDescent="0.25">
      <c r="B18" s="12" t="str">
        <f>'Raw Data'!B11</f>
        <v>HSDO (000 Tonnes)</v>
      </c>
      <c r="C18" s="73">
        <f>'Raw Data'!C15</f>
        <v>1831.9234924164552</v>
      </c>
      <c r="D18" s="74">
        <f>'Raw Data'!D15</f>
        <v>2035.76</v>
      </c>
      <c r="E18" s="74">
        <f>'Raw Data'!E15</f>
        <v>2166.17</v>
      </c>
      <c r="F18" s="74">
        <f>'Raw Data'!F15</f>
        <v>2260.6799999999998</v>
      </c>
      <c r="G18" s="74">
        <f>'Raw Data'!G15</f>
        <v>2370.88</v>
      </c>
      <c r="H18" s="74">
        <f>'Raw Data'!H15</f>
        <v>2429.2600000000002</v>
      </c>
      <c r="I18" s="74">
        <f>'Raw Data'!I15</f>
        <v>2538.31</v>
      </c>
      <c r="M18" s="30" t="str">
        <f t="shared" ref="M18:M22" si="50">B18</f>
        <v>HSDO (000 Tonnes)</v>
      </c>
      <c r="N18" s="73">
        <f t="shared" ref="N18:T18" si="51">(C18*$C$48*$C$68)/10^3</f>
        <v>5837.057823886551</v>
      </c>
      <c r="O18" s="83">
        <f t="shared" si="51"/>
        <v>6486.5420879999983</v>
      </c>
      <c r="P18" s="83">
        <f t="shared" si="51"/>
        <v>6902.0674709999994</v>
      </c>
      <c r="Q18" s="83">
        <f t="shared" si="51"/>
        <v>7203.2046839999985</v>
      </c>
      <c r="R18" s="83">
        <f t="shared" si="51"/>
        <v>7554.3349440000002</v>
      </c>
      <c r="S18" s="83">
        <f t="shared" si="51"/>
        <v>7740.351138</v>
      </c>
      <c r="T18" s="83">
        <f t="shared" si="51"/>
        <v>8087.817153</v>
      </c>
      <c r="AA18" s="30" t="str">
        <f t="shared" ref="AA18:AA23" si="52">M18</f>
        <v>HSDO (000 Tonnes)</v>
      </c>
      <c r="AB18" s="73">
        <f t="shared" ref="AB18:AH18" si="53">(C18*$C$48*$AB$60)/10^6</f>
        <v>0.32690674722171642</v>
      </c>
      <c r="AC18" s="83">
        <f t="shared" si="53"/>
        <v>0.36328137199999999</v>
      </c>
      <c r="AD18" s="83">
        <f t="shared" si="53"/>
        <v>0.38655303650000006</v>
      </c>
      <c r="AE18" s="83">
        <f t="shared" si="53"/>
        <v>0.40341834600000004</v>
      </c>
      <c r="AF18" s="83">
        <f t="shared" si="53"/>
        <v>0.42308353600000009</v>
      </c>
      <c r="AG18" s="83">
        <f t="shared" si="53"/>
        <v>0.43350144700000004</v>
      </c>
      <c r="AH18" s="83">
        <f t="shared" si="53"/>
        <v>0.45296141950000002</v>
      </c>
      <c r="AM18" s="30" t="str">
        <f t="shared" ref="AM18:AM23" si="54">AA18</f>
        <v>HSDO (000 Tonnes)</v>
      </c>
      <c r="AN18" s="73">
        <f t="shared" ref="AN18:AT18" si="55">(C18*$C$48*$AC$60)/10^6</f>
        <v>2.2528995109737568</v>
      </c>
      <c r="AO18" s="74">
        <f t="shared" si="55"/>
        <v>2.5035776480000003</v>
      </c>
      <c r="AP18" s="74">
        <f t="shared" si="55"/>
        <v>2.6639558659999998</v>
      </c>
      <c r="AQ18" s="74">
        <f t="shared" si="55"/>
        <v>2.7801842639999998</v>
      </c>
      <c r="AR18" s="74">
        <f t="shared" si="55"/>
        <v>2.9157082240000003</v>
      </c>
      <c r="AS18" s="74">
        <f t="shared" si="55"/>
        <v>2.9875039480000005</v>
      </c>
      <c r="AT18" s="74">
        <f t="shared" si="55"/>
        <v>3.1216136380000004</v>
      </c>
      <c r="AW18" s="30" t="s">
        <v>37</v>
      </c>
      <c r="AX18" s="75">
        <f t="shared" ref="AX18" si="56">N18+21*AB18+310*AN18</f>
        <v>6542.3217139800718</v>
      </c>
      <c r="AY18" s="75">
        <f t="shared" ref="AY18" si="57">O18+21*AC18+310*AO18</f>
        <v>7270.2800676919987</v>
      </c>
      <c r="AZ18" s="75">
        <f t="shared" ref="AZ18" si="58">P18+21*AD18+310*AP18</f>
        <v>7736.0114032264992</v>
      </c>
      <c r="BA18" s="75">
        <f t="shared" ref="BA18" si="59">Q18+21*AE18+310*AQ18</f>
        <v>8073.5335911059983</v>
      </c>
      <c r="BB18" s="75">
        <f t="shared" ref="BB18" si="60">R18+21*AF18+310*AR18</f>
        <v>8467.0892476959998</v>
      </c>
      <c r="BC18" s="75">
        <f t="shared" ref="BC18" si="61">S18+21*AG18+310*AS18</f>
        <v>8675.5808922670003</v>
      </c>
      <c r="BD18" s="75">
        <f t="shared" ref="BD18" si="62">T18+21*AH18+310*AT18</f>
        <v>9065.0295705895005</v>
      </c>
    </row>
    <row r="19" spans="2:56" x14ac:dyDescent="0.25">
      <c r="B19" s="12" t="str">
        <f>'Raw Data'!B20</f>
        <v>LDO (000 Tonnes)</v>
      </c>
      <c r="C19" s="73">
        <f>'Raw Data'!C23</f>
        <v>2.5367316341829085</v>
      </c>
      <c r="D19" s="74">
        <f>'Raw Data'!D23</f>
        <v>2.35</v>
      </c>
      <c r="E19" s="74">
        <f>'Raw Data'!E23</f>
        <v>2.13</v>
      </c>
      <c r="F19" s="74">
        <f>'Raw Data'!F23</f>
        <v>1.78</v>
      </c>
      <c r="G19" s="74">
        <f>'Raw Data'!G23</f>
        <v>1.1200000000000001</v>
      </c>
      <c r="H19" s="74">
        <f>'Raw Data'!H23</f>
        <v>0.83</v>
      </c>
      <c r="I19" s="74">
        <f>'Raw Data'!I23</f>
        <v>0.9</v>
      </c>
      <c r="M19" s="30" t="str">
        <f t="shared" si="50"/>
        <v>LDO (000 Tonnes)</v>
      </c>
      <c r="N19" s="73">
        <f t="shared" ref="N19:T19" si="63">(C19*$C$56*$C$73)/10^3</f>
        <v>8.082788005997001</v>
      </c>
      <c r="O19" s="83">
        <f t="shared" si="63"/>
        <v>7.4878049999999998</v>
      </c>
      <c r="P19" s="83">
        <f t="shared" si="63"/>
        <v>6.7868189999999986</v>
      </c>
      <c r="Q19" s="83">
        <f t="shared" si="63"/>
        <v>5.6716139999999999</v>
      </c>
      <c r="R19" s="83">
        <f t="shared" si="63"/>
        <v>3.5686559999999998</v>
      </c>
      <c r="S19" s="83">
        <f t="shared" si="63"/>
        <v>2.6446289999999992</v>
      </c>
      <c r="T19" s="83">
        <f t="shared" si="63"/>
        <v>2.8676699999999999</v>
      </c>
      <c r="AA19" s="30" t="str">
        <f t="shared" si="52"/>
        <v>LDO (000 Tonnes)</v>
      </c>
      <c r="AB19" s="73">
        <f t="shared" ref="AB19:AH19" si="64">(C19*$C$56*$AB$55)/10^6</f>
        <v>1.0907946026986505E-3</v>
      </c>
      <c r="AC19" s="83">
        <f t="shared" si="64"/>
        <v>1.0104999999999999E-3</v>
      </c>
      <c r="AD19" s="83">
        <f t="shared" si="64"/>
        <v>9.1589999999999987E-4</v>
      </c>
      <c r="AE19" s="83">
        <f t="shared" si="64"/>
        <v>7.6540000000000006E-4</v>
      </c>
      <c r="AF19" s="83">
        <f t="shared" si="64"/>
        <v>4.816E-4</v>
      </c>
      <c r="AG19" s="83">
        <f t="shared" si="64"/>
        <v>3.569E-4</v>
      </c>
      <c r="AH19" s="83">
        <f t="shared" si="64"/>
        <v>3.8699999999999997E-4</v>
      </c>
      <c r="AM19" s="30" t="str">
        <f t="shared" si="54"/>
        <v>LDO (000 Tonnes)</v>
      </c>
      <c r="AN19" s="73">
        <f t="shared" ref="AN19:AT19" si="65">(C19*$C$56*$AC$55)/10^6</f>
        <v>6.5447676161919029E-5</v>
      </c>
      <c r="AO19" s="74">
        <f t="shared" si="65"/>
        <v>6.0629999999999994E-5</v>
      </c>
      <c r="AP19" s="74">
        <f t="shared" si="65"/>
        <v>5.4953999999999996E-5</v>
      </c>
      <c r="AQ19" s="74">
        <f t="shared" si="65"/>
        <v>4.5924000000000003E-5</v>
      </c>
      <c r="AR19" s="74">
        <f t="shared" si="65"/>
        <v>2.8895999999999999E-5</v>
      </c>
      <c r="AS19" s="74">
        <f t="shared" si="65"/>
        <v>2.1413999999999999E-5</v>
      </c>
      <c r="AT19" s="74">
        <f t="shared" si="65"/>
        <v>2.3220000000000001E-5</v>
      </c>
      <c r="AW19" s="30" t="s">
        <v>40</v>
      </c>
      <c r="AX19" s="75">
        <f t="shared" ref="AX19:AX22" si="66">N19+21*AB19+310*AN19</f>
        <v>8.1259834722638669</v>
      </c>
      <c r="AY19" s="75">
        <f t="shared" ref="AY19:AY22" si="67">O19+21*AC19+310*AO19</f>
        <v>7.5278207999999998</v>
      </c>
      <c r="AZ19" s="75">
        <f t="shared" ref="AZ19:AZ22" si="68">P19+21*AD19+310*AP19</f>
        <v>6.8230886399999982</v>
      </c>
      <c r="BA19" s="75">
        <f t="shared" ref="BA19:BA22" si="69">Q19+21*AE19+310*AQ19</f>
        <v>5.7019238400000001</v>
      </c>
      <c r="BB19" s="75">
        <f t="shared" ref="BB19:BB22" si="70">R19+21*AF19+310*AR19</f>
        <v>3.5877273599999997</v>
      </c>
      <c r="BC19" s="75">
        <f t="shared" ref="BC19:BC22" si="71">S19+21*AG19+310*AS19</f>
        <v>2.6587622399999993</v>
      </c>
      <c r="BD19" s="75">
        <f t="shared" ref="BD19:BD22" si="72">T19+21*AH19+310*AT19</f>
        <v>2.8829951999999999</v>
      </c>
    </row>
    <row r="20" spans="2:56" x14ac:dyDescent="0.25">
      <c r="B20" s="12" t="str">
        <f>'Raw Data'!B5</f>
        <v>LPG (000 Tonnes)</v>
      </c>
      <c r="C20" s="73">
        <f>'Raw Data'!C7</f>
        <v>0.83831154952733244</v>
      </c>
      <c r="D20" s="74">
        <f>'Raw Data'!D7</f>
        <v>0.94</v>
      </c>
      <c r="E20" s="74">
        <f>'Raw Data'!E7</f>
        <v>0.79</v>
      </c>
      <c r="F20" s="74">
        <f>'Raw Data'!F7</f>
        <v>0.76</v>
      </c>
      <c r="G20" s="74">
        <f>'Raw Data'!G7</f>
        <v>0.93</v>
      </c>
      <c r="H20" s="74">
        <f>'Raw Data'!H7</f>
        <v>0.84</v>
      </c>
      <c r="I20" s="74">
        <f>'Raw Data'!I7</f>
        <v>0.78</v>
      </c>
      <c r="M20" s="30" t="str">
        <f t="shared" si="50"/>
        <v>LPG (000 Tonnes)</v>
      </c>
      <c r="N20" s="73">
        <f t="shared" ref="N20:T20" si="73">(C20*$C$52*$C$69)/10^3</f>
        <v>2.5020498000657621</v>
      </c>
      <c r="O20" s="83">
        <f t="shared" si="73"/>
        <v>2.8055521999999997</v>
      </c>
      <c r="P20" s="83">
        <f t="shared" si="73"/>
        <v>2.3578576999999998</v>
      </c>
      <c r="Q20" s="83">
        <f t="shared" si="73"/>
        <v>2.2683187999999999</v>
      </c>
      <c r="R20" s="83">
        <f t="shared" si="73"/>
        <v>2.7757058999999997</v>
      </c>
      <c r="S20" s="83">
        <f t="shared" si="73"/>
        <v>2.5070891999999998</v>
      </c>
      <c r="T20" s="83">
        <f t="shared" si="73"/>
        <v>2.3280113999999998</v>
      </c>
      <c r="AA20" s="30" t="str">
        <f t="shared" si="52"/>
        <v>LPG (000 Tonnes)</v>
      </c>
      <c r="AB20" s="73">
        <f t="shared" ref="AB20:AH20" si="74">(C20*$C$52*$AB$54)/10^6</f>
        <v>2.4584324501438549E-3</v>
      </c>
      <c r="AC20" s="83">
        <f t="shared" si="74"/>
        <v>2.7566439999999999E-3</v>
      </c>
      <c r="AD20" s="83">
        <f t="shared" si="74"/>
        <v>2.3167539999999999E-3</v>
      </c>
      <c r="AE20" s="83">
        <f t="shared" si="74"/>
        <v>2.228776E-3</v>
      </c>
      <c r="AF20" s="83">
        <f t="shared" si="74"/>
        <v>2.7273179999999998E-3</v>
      </c>
      <c r="AG20" s="83">
        <f t="shared" si="74"/>
        <v>2.4633839999999999E-3</v>
      </c>
      <c r="AH20" s="83">
        <f t="shared" si="74"/>
        <v>2.2874279999999998E-3</v>
      </c>
      <c r="AM20" s="30" t="str">
        <f t="shared" si="54"/>
        <v>LPG (000 Tonnes)</v>
      </c>
      <c r="AN20" s="73">
        <f t="shared" ref="AN20:AT20" si="75">(C20*$C$52*$AC$54)/10^6</f>
        <v>7.9304272585285654E-6</v>
      </c>
      <c r="AO20" s="74">
        <f t="shared" si="75"/>
        <v>8.8923999999999998E-6</v>
      </c>
      <c r="AP20" s="74">
        <f t="shared" si="75"/>
        <v>7.4733999999999995E-6</v>
      </c>
      <c r="AQ20" s="74">
        <f t="shared" si="75"/>
        <v>7.1896000000000006E-6</v>
      </c>
      <c r="AR20" s="74">
        <f t="shared" si="75"/>
        <v>8.7978000000000007E-6</v>
      </c>
      <c r="AS20" s="74">
        <f t="shared" si="75"/>
        <v>7.9464000000000007E-6</v>
      </c>
      <c r="AT20" s="74">
        <f t="shared" si="75"/>
        <v>7.3788000000000004E-6</v>
      </c>
      <c r="AW20" s="30" t="s">
        <v>33</v>
      </c>
      <c r="AX20" s="75">
        <f t="shared" si="66"/>
        <v>2.5561353139689271</v>
      </c>
      <c r="AY20" s="75">
        <f t="shared" si="67"/>
        <v>2.8661983680000001</v>
      </c>
      <c r="AZ20" s="75">
        <f t="shared" si="68"/>
        <v>2.4088262880000002</v>
      </c>
      <c r="BA20" s="75">
        <f t="shared" si="69"/>
        <v>2.3173518719999997</v>
      </c>
      <c r="BB20" s="75">
        <f t="shared" si="70"/>
        <v>2.8357068959999996</v>
      </c>
      <c r="BC20" s="75">
        <f t="shared" si="71"/>
        <v>2.5612836479999999</v>
      </c>
      <c r="BD20" s="75">
        <f t="shared" si="72"/>
        <v>2.3783348159999997</v>
      </c>
    </row>
    <row r="21" spans="2:56" x14ac:dyDescent="0.25">
      <c r="B21" s="12" t="str">
        <f>'Raw Data'!B27</f>
        <v>Furnace Oil (000 Tonnes)</v>
      </c>
      <c r="C21" s="73">
        <f>'Raw Data'!C30</f>
        <v>0</v>
      </c>
      <c r="D21" s="74">
        <f>'Raw Data'!D30</f>
        <v>0</v>
      </c>
      <c r="E21" s="74">
        <f>'Raw Data'!E30</f>
        <v>3.95</v>
      </c>
      <c r="F21" s="74">
        <f>'Raw Data'!F30</f>
        <v>3.12</v>
      </c>
      <c r="G21" s="74">
        <f>'Raw Data'!G30</f>
        <v>3.89</v>
      </c>
      <c r="H21" s="74">
        <f>'Raw Data'!H30</f>
        <v>3.38</v>
      </c>
      <c r="I21" s="74">
        <f>'Raw Data'!I30</f>
        <v>2.6</v>
      </c>
      <c r="M21" s="30" t="str">
        <f t="shared" si="50"/>
        <v>Furnace Oil (000 Tonnes)</v>
      </c>
      <c r="N21" s="73">
        <f t="shared" ref="N21:T21" si="76">(C21*$C$54*$C$71)/10^3</f>
        <v>0</v>
      </c>
      <c r="O21" s="83">
        <f t="shared" si="76"/>
        <v>0</v>
      </c>
      <c r="P21" s="83">
        <f t="shared" si="76"/>
        <v>12.2872887</v>
      </c>
      <c r="Q21" s="83">
        <f t="shared" si="76"/>
        <v>9.7054027200000004</v>
      </c>
      <c r="R21" s="83">
        <f t="shared" si="76"/>
        <v>12.100646340000001</v>
      </c>
      <c r="S21" s="83">
        <f t="shared" si="76"/>
        <v>10.514186280000001</v>
      </c>
      <c r="T21" s="83">
        <f t="shared" si="76"/>
        <v>8.0878356</v>
      </c>
      <c r="AA21" s="30" t="str">
        <f t="shared" si="52"/>
        <v>Furnace Oil (000 Tonnes)</v>
      </c>
      <c r="AB21" s="73">
        <f t="shared" ref="AB21:AH21" si="77">(C21*$C$54*$AB$56)/10^6</f>
        <v>0</v>
      </c>
      <c r="AC21" s="83">
        <f t="shared" si="77"/>
        <v>0</v>
      </c>
      <c r="AD21" s="83">
        <f t="shared" si="77"/>
        <v>4.7625149999999997E-4</v>
      </c>
      <c r="AE21" s="83">
        <f t="shared" si="77"/>
        <v>3.7617839999999999E-4</v>
      </c>
      <c r="AF21" s="83">
        <f t="shared" si="77"/>
        <v>4.6901729999999995E-4</v>
      </c>
      <c r="AG21" s="83">
        <f t="shared" si="77"/>
        <v>4.0752659999999995E-4</v>
      </c>
      <c r="AH21" s="83">
        <f t="shared" si="77"/>
        <v>3.1348199999999996E-4</v>
      </c>
      <c r="AM21" s="30" t="str">
        <f t="shared" si="54"/>
        <v>Furnace Oil (000 Tonnes)</v>
      </c>
      <c r="AN21" s="73">
        <f t="shared" ref="AN21:AT21" si="78">(C21*$C$54*$AC$56)/10^6</f>
        <v>0</v>
      </c>
      <c r="AO21" s="74">
        <f t="shared" si="78"/>
        <v>0</v>
      </c>
      <c r="AP21" s="74">
        <f t="shared" si="78"/>
        <v>9.5250299999999992E-5</v>
      </c>
      <c r="AQ21" s="74">
        <f t="shared" si="78"/>
        <v>7.5235679999999987E-5</v>
      </c>
      <c r="AR21" s="74">
        <f t="shared" si="78"/>
        <v>9.3803460000000001E-5</v>
      </c>
      <c r="AS21" s="74">
        <f t="shared" si="78"/>
        <v>8.1505319999999995E-5</v>
      </c>
      <c r="AT21" s="74">
        <f t="shared" si="78"/>
        <v>6.2696399999999998E-5</v>
      </c>
      <c r="AW21" s="30" t="s">
        <v>41</v>
      </c>
      <c r="AX21" s="75">
        <f t="shared" si="66"/>
        <v>0</v>
      </c>
      <c r="AY21" s="75">
        <f t="shared" si="67"/>
        <v>0</v>
      </c>
      <c r="AZ21" s="75">
        <f t="shared" si="68"/>
        <v>12.326817574499998</v>
      </c>
      <c r="BA21" s="75">
        <f t="shared" si="69"/>
        <v>9.7366255271999993</v>
      </c>
      <c r="BB21" s="75">
        <f t="shared" si="70"/>
        <v>12.139574775900002</v>
      </c>
      <c r="BC21" s="75">
        <f t="shared" si="71"/>
        <v>10.548010987800001</v>
      </c>
      <c r="BD21" s="75">
        <f t="shared" si="72"/>
        <v>8.1138546060000003</v>
      </c>
    </row>
    <row r="22" spans="2:56" x14ac:dyDescent="0.25">
      <c r="B22" s="12" t="str">
        <f>'Raw Data'!B63</f>
        <v>Coal for traction (Million Tonnes)</v>
      </c>
      <c r="C22" s="84">
        <f>'Raw Data'!C64</f>
        <v>3.0000000000000001E-3</v>
      </c>
      <c r="D22" s="84">
        <f>'Raw Data'!D64</f>
        <v>3.0000000000000001E-3</v>
      </c>
      <c r="E22" s="84">
        <f>'Raw Data'!E64</f>
        <v>2E-3</v>
      </c>
      <c r="F22" s="84">
        <f>'Raw Data'!F64</f>
        <v>2E-3</v>
      </c>
      <c r="G22" s="84">
        <f>'Raw Data'!G64</f>
        <v>1E-3</v>
      </c>
      <c r="H22" s="84">
        <f>'Raw Data'!H64</f>
        <v>1E-3</v>
      </c>
      <c r="I22" s="84">
        <f>'Raw Data'!I64</f>
        <v>1E-3</v>
      </c>
      <c r="M22" s="30" t="str">
        <f t="shared" si="50"/>
        <v>Coal for traction (Million Tonnes)</v>
      </c>
      <c r="N22" s="85">
        <f t="shared" ref="N22:T22" si="79">(C22*1000*$C$55*$C$72)/10^3</f>
        <v>5.5303598999999997</v>
      </c>
      <c r="O22" s="85">
        <f t="shared" si="79"/>
        <v>5.5303598999999997</v>
      </c>
      <c r="P22" s="85">
        <f t="shared" si="79"/>
        <v>3.6869065999999999</v>
      </c>
      <c r="Q22" s="85">
        <f t="shared" si="79"/>
        <v>3.6869065999999999</v>
      </c>
      <c r="R22" s="85">
        <f t="shared" si="79"/>
        <v>1.8434533</v>
      </c>
      <c r="S22" s="85">
        <f t="shared" si="79"/>
        <v>1.8434533</v>
      </c>
      <c r="T22" s="85">
        <f t="shared" si="79"/>
        <v>1.8434533</v>
      </c>
      <c r="AA22" s="30" t="str">
        <f t="shared" si="52"/>
        <v>Coal for traction (Million Tonnes)</v>
      </c>
      <c r="AB22" s="85">
        <f t="shared" ref="AB22:AH22" si="80">(C22*1000*$C$55*$AB$61)/10^6</f>
        <v>1.1778E-4</v>
      </c>
      <c r="AC22" s="85">
        <f t="shared" si="80"/>
        <v>1.1778E-4</v>
      </c>
      <c r="AD22" s="85">
        <f t="shared" si="80"/>
        <v>7.852E-5</v>
      </c>
      <c r="AE22" s="85">
        <f t="shared" si="80"/>
        <v>7.852E-5</v>
      </c>
      <c r="AF22" s="85">
        <f t="shared" si="80"/>
        <v>3.926E-5</v>
      </c>
      <c r="AG22" s="85">
        <f t="shared" si="80"/>
        <v>3.926E-5</v>
      </c>
      <c r="AH22" s="85">
        <f t="shared" si="80"/>
        <v>3.926E-5</v>
      </c>
      <c r="AI22" s="86"/>
      <c r="AM22" s="30" t="str">
        <f t="shared" si="54"/>
        <v>Coal for traction (Million Tonnes)</v>
      </c>
      <c r="AN22" s="85">
        <f t="shared" ref="AN22:AT22" si="81">(C22*1000*$C$55*$AC$61)/10^6</f>
        <v>8.8335000000000014E-5</v>
      </c>
      <c r="AO22" s="85">
        <f t="shared" si="81"/>
        <v>8.8335000000000014E-5</v>
      </c>
      <c r="AP22" s="85">
        <f t="shared" si="81"/>
        <v>5.889E-5</v>
      </c>
      <c r="AQ22" s="85">
        <f t="shared" si="81"/>
        <v>5.889E-5</v>
      </c>
      <c r="AR22" s="85">
        <f t="shared" si="81"/>
        <v>2.9445E-5</v>
      </c>
      <c r="AS22" s="85">
        <f t="shared" si="81"/>
        <v>2.9445E-5</v>
      </c>
      <c r="AT22" s="85">
        <f t="shared" si="81"/>
        <v>2.9445E-5</v>
      </c>
      <c r="AW22" s="30" t="s">
        <v>75</v>
      </c>
      <c r="AX22" s="75">
        <f t="shared" si="66"/>
        <v>5.560217129999999</v>
      </c>
      <c r="AY22" s="75">
        <f t="shared" si="67"/>
        <v>5.560217129999999</v>
      </c>
      <c r="AZ22" s="75">
        <f t="shared" si="68"/>
        <v>3.7068114200000002</v>
      </c>
      <c r="BA22" s="75">
        <f t="shared" si="69"/>
        <v>3.7068114200000002</v>
      </c>
      <c r="BB22" s="75">
        <f t="shared" si="70"/>
        <v>1.8534057100000001</v>
      </c>
      <c r="BC22" s="75">
        <f t="shared" si="71"/>
        <v>1.8534057100000001</v>
      </c>
      <c r="BD22" s="75">
        <f t="shared" si="72"/>
        <v>1.8534057100000001</v>
      </c>
    </row>
    <row r="23" spans="2:56" x14ac:dyDescent="0.25">
      <c r="B23" s="9"/>
      <c r="M23" s="30" t="s">
        <v>4</v>
      </c>
      <c r="N23" s="54">
        <f>SUM(N18:N22)</f>
        <v>5853.1730215926136</v>
      </c>
      <c r="O23" s="54">
        <f t="shared" ref="O23:T23" si="82">SUM(O18:O22)</f>
        <v>6502.3658050999984</v>
      </c>
      <c r="P23" s="54">
        <f t="shared" si="82"/>
        <v>6927.1863429999994</v>
      </c>
      <c r="Q23" s="54">
        <f t="shared" si="82"/>
        <v>7224.5369261199985</v>
      </c>
      <c r="R23" s="54">
        <f t="shared" si="82"/>
        <v>7574.62340554</v>
      </c>
      <c r="S23" s="54">
        <f t="shared" si="82"/>
        <v>7757.8604957800007</v>
      </c>
      <c r="T23" s="54">
        <f t="shared" si="82"/>
        <v>8102.9441232999998</v>
      </c>
      <c r="AA23" s="30" t="str">
        <f t="shared" si="52"/>
        <v xml:space="preserve">Total </v>
      </c>
      <c r="AB23" s="54">
        <f>SUM(AB18:AB22)</f>
        <v>0.33057375427455898</v>
      </c>
      <c r="AC23" s="54">
        <f t="shared" ref="AC23:AH23" si="83">SUM(AC18:AC22)</f>
        <v>0.367166296</v>
      </c>
      <c r="AD23" s="54">
        <f t="shared" si="83"/>
        <v>0.39034046200000011</v>
      </c>
      <c r="AE23" s="54">
        <f t="shared" si="83"/>
        <v>0.40686722040000006</v>
      </c>
      <c r="AF23" s="54">
        <f t="shared" si="83"/>
        <v>0.42680073130000007</v>
      </c>
      <c r="AG23" s="54">
        <f t="shared" si="83"/>
        <v>0.43676851760000002</v>
      </c>
      <c r="AH23" s="54">
        <f t="shared" si="83"/>
        <v>0.45598858949999999</v>
      </c>
      <c r="AM23" s="33" t="str">
        <f t="shared" si="54"/>
        <v xml:space="preserve">Total </v>
      </c>
      <c r="AN23" s="54">
        <f>SUM(AN18:AN22)</f>
        <v>2.2530612240771775</v>
      </c>
      <c r="AO23" s="54">
        <f t="shared" ref="AO23:AT23" si="84">SUM(AO18:AO22)</f>
        <v>2.5037355054000003</v>
      </c>
      <c r="AP23" s="54">
        <f t="shared" si="84"/>
        <v>2.6641724336999997</v>
      </c>
      <c r="AQ23" s="54">
        <f t="shared" si="84"/>
        <v>2.7803715032799996</v>
      </c>
      <c r="AR23" s="54">
        <f t="shared" si="84"/>
        <v>2.9158691662600003</v>
      </c>
      <c r="AS23" s="54">
        <f t="shared" si="84"/>
        <v>2.9876442587200001</v>
      </c>
      <c r="AT23" s="54">
        <f t="shared" si="84"/>
        <v>3.1217363782000005</v>
      </c>
      <c r="AW23" s="33" t="s">
        <v>4</v>
      </c>
      <c r="AX23" s="54">
        <f>SUM(AX18:AX22)</f>
        <v>6558.5640498963048</v>
      </c>
      <c r="AY23" s="54">
        <f t="shared" ref="AY23:BD23" si="85">SUM(AY18:AY22)</f>
        <v>7286.2343039899988</v>
      </c>
      <c r="AZ23" s="54">
        <f t="shared" si="85"/>
        <v>7761.2769471489983</v>
      </c>
      <c r="BA23" s="54">
        <f t="shared" si="85"/>
        <v>8094.9963037651978</v>
      </c>
      <c r="BB23" s="54">
        <f t="shared" si="85"/>
        <v>8487.5056624378994</v>
      </c>
      <c r="BC23" s="54">
        <f t="shared" si="85"/>
        <v>8693.2023548528014</v>
      </c>
      <c r="BD23" s="54">
        <f t="shared" si="85"/>
        <v>9080.2581609214994</v>
      </c>
    </row>
    <row r="25" spans="2:56" x14ac:dyDescent="0.25">
      <c r="N25" s="52">
        <f>N23/Summary!D20</f>
        <v>0.9581229369115426</v>
      </c>
      <c r="Q25" s="52">
        <f>Q23/Summary!D29</f>
        <v>1.0794007150826967</v>
      </c>
      <c r="AB25" s="52">
        <f>AB23/Summary!E20</f>
        <v>0.97227574786634985</v>
      </c>
      <c r="AE25" s="52">
        <f>AE23/Summary!E29</f>
        <v>1.0707032115789474</v>
      </c>
      <c r="AN25" s="52">
        <f>AN23/Summary!F20</f>
        <v>0.95874945705411807</v>
      </c>
      <c r="AQ25" s="52">
        <f>AQ23/Summary!F29</f>
        <v>1.0776633733643408</v>
      </c>
      <c r="AX25" s="52"/>
      <c r="BA25" s="52"/>
    </row>
    <row r="28" spans="2:56" s="69" customFormat="1" x14ac:dyDescent="0.25">
      <c r="B28" s="68" t="s">
        <v>38</v>
      </c>
      <c r="C28" s="68" t="str">
        <f t="shared" ref="C28:I28" si="86">C4</f>
        <v>2006-07</v>
      </c>
      <c r="D28" s="68" t="str">
        <f t="shared" si="86"/>
        <v>2007-08</v>
      </c>
      <c r="E28" s="68" t="str">
        <f t="shared" si="86"/>
        <v>2008-09</v>
      </c>
      <c r="F28" s="68" t="str">
        <f t="shared" si="86"/>
        <v>2009-10</v>
      </c>
      <c r="G28" s="68" t="str">
        <f t="shared" si="86"/>
        <v>2010-11</v>
      </c>
      <c r="H28" s="68" t="str">
        <f t="shared" si="86"/>
        <v>2011-12</v>
      </c>
      <c r="I28" s="68" t="str">
        <f t="shared" si="86"/>
        <v>2012-13</v>
      </c>
      <c r="M28" s="68" t="str">
        <f>B28:B30</f>
        <v xml:space="preserve">Aviation </v>
      </c>
      <c r="N28" s="70" t="str">
        <f t="shared" ref="N28:T28" si="87">C28:C30</f>
        <v>2006-07</v>
      </c>
      <c r="O28" s="70" t="str">
        <f t="shared" si="87"/>
        <v>2007-08</v>
      </c>
      <c r="P28" s="70" t="str">
        <f t="shared" si="87"/>
        <v>2008-09</v>
      </c>
      <c r="Q28" s="70" t="str">
        <f t="shared" si="87"/>
        <v>2009-10</v>
      </c>
      <c r="R28" s="70" t="str">
        <f t="shared" si="87"/>
        <v>2010-11</v>
      </c>
      <c r="S28" s="70" t="str">
        <f t="shared" si="87"/>
        <v>2011-12</v>
      </c>
      <c r="T28" s="70" t="str">
        <f t="shared" si="87"/>
        <v>2012-13</v>
      </c>
      <c r="AA28" s="68" t="str">
        <f>M28</f>
        <v xml:space="preserve">Aviation </v>
      </c>
      <c r="AB28" s="68" t="str">
        <f>N28</f>
        <v>2006-07</v>
      </c>
      <c r="AC28" s="68" t="str">
        <f t="shared" ref="AC28:AH28" si="88">O28</f>
        <v>2007-08</v>
      </c>
      <c r="AD28" s="68" t="str">
        <f t="shared" si="88"/>
        <v>2008-09</v>
      </c>
      <c r="AE28" s="68" t="str">
        <f t="shared" si="88"/>
        <v>2009-10</v>
      </c>
      <c r="AF28" s="68" t="str">
        <f t="shared" si="88"/>
        <v>2010-11</v>
      </c>
      <c r="AG28" s="68" t="str">
        <f t="shared" si="88"/>
        <v>2011-12</v>
      </c>
      <c r="AH28" s="68" t="str">
        <f t="shared" si="88"/>
        <v>2012-13</v>
      </c>
      <c r="AM28" s="68" t="str">
        <f>AA28</f>
        <v xml:space="preserve">Aviation </v>
      </c>
      <c r="AN28" s="68" t="str">
        <f t="shared" ref="AN28:AT28" si="89">AB28</f>
        <v>2006-07</v>
      </c>
      <c r="AO28" s="68" t="str">
        <f t="shared" si="89"/>
        <v>2007-08</v>
      </c>
      <c r="AP28" s="68" t="str">
        <f t="shared" si="89"/>
        <v>2008-09</v>
      </c>
      <c r="AQ28" s="68" t="str">
        <f t="shared" si="89"/>
        <v>2009-10</v>
      </c>
      <c r="AR28" s="68" t="str">
        <f t="shared" si="89"/>
        <v>2010-11</v>
      </c>
      <c r="AS28" s="68" t="str">
        <f t="shared" si="89"/>
        <v>2011-12</v>
      </c>
      <c r="AT28" s="68" t="str">
        <f t="shared" si="89"/>
        <v>2012-13</v>
      </c>
      <c r="AW28" s="68" t="s">
        <v>38</v>
      </c>
      <c r="AX28" s="68">
        <f t="shared" ref="AX28" si="90">AL28</f>
        <v>0</v>
      </c>
      <c r="AY28" s="68" t="str">
        <f t="shared" ref="AY28" si="91">AM28</f>
        <v xml:space="preserve">Aviation </v>
      </c>
      <c r="AZ28" s="68" t="str">
        <f t="shared" ref="AZ28" si="92">AN28</f>
        <v>2006-07</v>
      </c>
      <c r="BA28" s="68" t="str">
        <f t="shared" ref="BA28" si="93">AO28</f>
        <v>2007-08</v>
      </c>
      <c r="BB28" s="68" t="str">
        <f t="shared" ref="BB28" si="94">AP28</f>
        <v>2008-09</v>
      </c>
      <c r="BC28" s="68" t="str">
        <f t="shared" ref="BC28" si="95">AQ28</f>
        <v>2009-10</v>
      </c>
      <c r="BD28" s="68" t="str">
        <f t="shared" ref="BD28" si="96">AR28</f>
        <v>2010-11</v>
      </c>
    </row>
    <row r="29" spans="2:56" x14ac:dyDescent="0.25">
      <c r="B29" s="12" t="str">
        <f>'Raw Data'!B52</f>
        <v>ATF (000 Tonnes)</v>
      </c>
      <c r="C29" s="72">
        <f>'Raw Data'!C52</f>
        <v>3983</v>
      </c>
      <c r="D29" s="72">
        <f>'Raw Data'!D52</f>
        <v>4542.6899999999996</v>
      </c>
      <c r="E29" s="72">
        <f>'Raw Data'!E52</f>
        <v>4490</v>
      </c>
      <c r="F29" s="72">
        <f>'Raw Data'!F52</f>
        <v>4590</v>
      </c>
      <c r="G29" s="72">
        <f>'Raw Data'!G52</f>
        <v>4820</v>
      </c>
      <c r="H29" s="72">
        <f>'Raw Data'!H52</f>
        <v>5320</v>
      </c>
      <c r="I29" s="72">
        <f>'Raw Data'!I52</f>
        <v>5140</v>
      </c>
      <c r="M29" s="30" t="str">
        <f t="shared" ref="M29:M30" si="97">B29:B31</f>
        <v>ATF (000 Tonnes)</v>
      </c>
      <c r="N29" s="83">
        <f t="shared" ref="N29:T29" si="98">(C29*$C$53*$C$66)/10^3</f>
        <v>12295.521000000002</v>
      </c>
      <c r="O29" s="83">
        <f t="shared" si="98"/>
        <v>14023.284029999999</v>
      </c>
      <c r="P29" s="83">
        <f t="shared" si="98"/>
        <v>13860.63</v>
      </c>
      <c r="Q29" s="83">
        <f t="shared" si="98"/>
        <v>14169.33</v>
      </c>
      <c r="R29" s="83">
        <f t="shared" si="98"/>
        <v>14879.34</v>
      </c>
      <c r="S29" s="83">
        <f t="shared" si="98"/>
        <v>16422.84</v>
      </c>
      <c r="T29" s="83">
        <f t="shared" si="98"/>
        <v>15867.18</v>
      </c>
      <c r="AA29" s="30" t="str">
        <f t="shared" ref="AA29:AA31" si="99">M29</f>
        <v>ATF (000 Tonnes)</v>
      </c>
      <c r="AB29" s="74">
        <f t="shared" ref="AB29:AH29" si="100">(C29*$C$53*$AB$76)/10^6</f>
        <v>8.7825150000000005E-2</v>
      </c>
      <c r="AC29" s="74">
        <f t="shared" si="100"/>
        <v>0.10016631449999999</v>
      </c>
      <c r="AD29" s="74">
        <f t="shared" si="100"/>
        <v>9.9004499999999995E-2</v>
      </c>
      <c r="AE29" s="74">
        <f t="shared" si="100"/>
        <v>0.10120949999999999</v>
      </c>
      <c r="AF29" s="74">
        <f t="shared" si="100"/>
        <v>0.106281</v>
      </c>
      <c r="AG29" s="74">
        <f t="shared" si="100"/>
        <v>0.11730599999999999</v>
      </c>
      <c r="AH29" s="74">
        <f t="shared" si="100"/>
        <v>0.11333699999999999</v>
      </c>
      <c r="AM29" s="30" t="str">
        <f t="shared" ref="AM29:AM31" si="101">AA29</f>
        <v>ATF (000 Tonnes)</v>
      </c>
      <c r="AN29" s="74">
        <f t="shared" ref="AN29:AT29" si="102">(C29*$C$53*$AC$76)/10^6</f>
        <v>0.35130060000000002</v>
      </c>
      <c r="AO29" s="74">
        <f t="shared" si="102"/>
        <v>0.40066525799999997</v>
      </c>
      <c r="AP29" s="74">
        <f t="shared" si="102"/>
        <v>0.39601799999999998</v>
      </c>
      <c r="AQ29" s="74">
        <f t="shared" si="102"/>
        <v>0.40483799999999998</v>
      </c>
      <c r="AR29" s="74">
        <f t="shared" si="102"/>
        <v>0.425124</v>
      </c>
      <c r="AS29" s="74">
        <f t="shared" si="102"/>
        <v>0.46922399999999997</v>
      </c>
      <c r="AT29" s="74">
        <f t="shared" si="102"/>
        <v>0.45334799999999997</v>
      </c>
      <c r="AW29" s="30" t="s">
        <v>49</v>
      </c>
      <c r="AX29" s="75">
        <f t="shared" ref="AX29" si="103">N29+21*AB29+310*AN29</f>
        <v>12406.268514150002</v>
      </c>
      <c r="AY29" s="75">
        <f t="shared" ref="AY29" si="104">O29+21*AC29+310*AO29</f>
        <v>14149.593752584498</v>
      </c>
      <c r="AZ29" s="75">
        <f t="shared" ref="AZ29" si="105">P29+21*AD29+310*AP29</f>
        <v>13985.474674499999</v>
      </c>
      <c r="BA29" s="75">
        <f t="shared" ref="BA29" si="106">Q29+21*AE29+310*AQ29</f>
        <v>14296.955179500001</v>
      </c>
      <c r="BB29" s="75">
        <f t="shared" ref="BB29" si="107">R29+21*AF29+310*AR29</f>
        <v>15013.360341</v>
      </c>
      <c r="BC29" s="75">
        <f t="shared" ref="BC29" si="108">S29+21*AG29+310*AS29</f>
        <v>16570.762865999997</v>
      </c>
      <c r="BD29" s="75">
        <f t="shared" ref="BD29" si="109">T29+21*AH29+310*AT29</f>
        <v>16010.097957</v>
      </c>
    </row>
    <row r="30" spans="2:56" x14ac:dyDescent="0.25">
      <c r="B30" s="12" t="str">
        <f>'Raw Data'!B11</f>
        <v>HSDO (000 Tonnes)</v>
      </c>
      <c r="C30" s="73">
        <f>'Raw Data'!C13</f>
        <v>2.5646352975728464</v>
      </c>
      <c r="D30" s="74">
        <f>'Raw Data'!D13</f>
        <v>2.85</v>
      </c>
      <c r="E30" s="74">
        <f>'Raw Data'!E13</f>
        <v>1.75</v>
      </c>
      <c r="F30" s="74">
        <f>'Raw Data'!F13</f>
        <v>1.71</v>
      </c>
      <c r="G30" s="74">
        <f>'Raw Data'!G13</f>
        <v>1.01</v>
      </c>
      <c r="H30" s="74">
        <f>'Raw Data'!H13</f>
        <v>1.37</v>
      </c>
      <c r="I30" s="74">
        <f>'Raw Data'!I13</f>
        <v>1.36</v>
      </c>
      <c r="M30" s="30" t="str">
        <f t="shared" si="97"/>
        <v>HSDO (000 Tonnes)</v>
      </c>
      <c r="N30" s="73">
        <f t="shared" ref="N30:T30" si="110">(C30*$C$48*$C$68)/10^3</f>
        <v>8.1716974486563601</v>
      </c>
      <c r="O30" s="83">
        <f t="shared" si="110"/>
        <v>9.0809549999999994</v>
      </c>
      <c r="P30" s="83">
        <f t="shared" si="110"/>
        <v>5.5760249999999996</v>
      </c>
      <c r="Q30" s="83">
        <f t="shared" si="110"/>
        <v>5.4485729999999997</v>
      </c>
      <c r="R30" s="83">
        <f t="shared" si="110"/>
        <v>3.2181629999999997</v>
      </c>
      <c r="S30" s="83">
        <f t="shared" si="110"/>
        <v>4.3652309999999996</v>
      </c>
      <c r="T30" s="83">
        <f t="shared" si="110"/>
        <v>4.3333680000000001</v>
      </c>
      <c r="AA30" s="30" t="str">
        <f t="shared" si="99"/>
        <v>HSDO (000 Tonnes)</v>
      </c>
      <c r="AB30" s="73">
        <f t="shared" ref="AB30:AH30" si="111">(C30*$C$48*$AB$52)/10^6</f>
        <v>4.3008933940296632E-4</v>
      </c>
      <c r="AC30" s="74">
        <f t="shared" si="111"/>
        <v>4.7794500000000002E-4</v>
      </c>
      <c r="AD30" s="74">
        <f t="shared" si="111"/>
        <v>2.9347499999999996E-4</v>
      </c>
      <c r="AE30" s="74">
        <f t="shared" si="111"/>
        <v>2.86767E-4</v>
      </c>
      <c r="AF30" s="74">
        <f t="shared" si="111"/>
        <v>1.6937699999999999E-4</v>
      </c>
      <c r="AG30" s="74">
        <f t="shared" si="111"/>
        <v>2.2974899999999999E-4</v>
      </c>
      <c r="AH30" s="74">
        <f t="shared" si="111"/>
        <v>2.2807200000000001E-4</v>
      </c>
      <c r="AM30" s="30" t="str">
        <f t="shared" si="101"/>
        <v>HSDO (000 Tonnes)</v>
      </c>
      <c r="AN30" s="165">
        <f t="shared" ref="AN30:AT30" si="112">(C30*$C$48*$AC$52)/10^6</f>
        <v>4.3008933940296632E-4</v>
      </c>
      <c r="AO30" s="74">
        <f t="shared" si="112"/>
        <v>4.7794500000000002E-4</v>
      </c>
      <c r="AP30" s="74">
        <f t="shared" si="112"/>
        <v>2.9347499999999996E-4</v>
      </c>
      <c r="AQ30" s="74">
        <f t="shared" si="112"/>
        <v>2.86767E-4</v>
      </c>
      <c r="AR30" s="74">
        <f t="shared" si="112"/>
        <v>1.6937699999999999E-4</v>
      </c>
      <c r="AS30" s="74">
        <f t="shared" si="112"/>
        <v>2.2974899999999999E-4</v>
      </c>
      <c r="AT30" s="74">
        <f t="shared" si="112"/>
        <v>2.2807200000000001E-4</v>
      </c>
      <c r="AW30" s="30" t="s">
        <v>37</v>
      </c>
      <c r="AX30" s="75">
        <f t="shared" ref="AX30" si="113">N30+21*AB30+310*AN30</f>
        <v>8.3140570199987422</v>
      </c>
      <c r="AY30" s="75">
        <f t="shared" ref="AY30" si="114">O30+21*AC30+310*AO30</f>
        <v>9.2391547949999993</v>
      </c>
      <c r="AZ30" s="75">
        <f t="shared" ref="AZ30" si="115">P30+21*AD30+310*AP30</f>
        <v>5.6731652249999991</v>
      </c>
      <c r="BA30" s="75">
        <f t="shared" ref="BA30" si="116">Q30+21*AE30+310*AQ30</f>
        <v>5.5434928769999994</v>
      </c>
      <c r="BB30" s="75">
        <f t="shared" ref="BB30" si="117">R30+21*AF30+310*AR30</f>
        <v>3.2742267869999999</v>
      </c>
      <c r="BC30" s="75">
        <f t="shared" ref="BC30" si="118">S30+21*AG30+310*AS30</f>
        <v>4.441277919</v>
      </c>
      <c r="BD30" s="75">
        <f t="shared" ref="BD30" si="119">T30+21*AH30+310*AT30</f>
        <v>4.4088598320000001</v>
      </c>
    </row>
    <row r="31" spans="2:56" x14ac:dyDescent="0.25">
      <c r="B31" s="9"/>
      <c r="M31" s="30" t="s">
        <v>4</v>
      </c>
      <c r="N31" s="54">
        <f>SUM(N29:N30)</f>
        <v>12303.69269744866</v>
      </c>
      <c r="O31" s="54">
        <f t="shared" ref="O31:T31" si="120">SUM(O29:O30)</f>
        <v>14032.364984999998</v>
      </c>
      <c r="P31" s="54">
        <f t="shared" si="120"/>
        <v>13866.206024999999</v>
      </c>
      <c r="Q31" s="54">
        <f t="shared" si="120"/>
        <v>14174.778573</v>
      </c>
      <c r="R31" s="54">
        <f t="shared" si="120"/>
        <v>14882.558163</v>
      </c>
      <c r="S31" s="54">
        <f t="shared" si="120"/>
        <v>16427.205231</v>
      </c>
      <c r="T31" s="54">
        <f t="shared" si="120"/>
        <v>15871.513368</v>
      </c>
      <c r="AA31" s="30" t="str">
        <f t="shared" si="99"/>
        <v xml:space="preserve">Total </v>
      </c>
      <c r="AB31" s="54">
        <f>SUM(AB29:AB30)</f>
        <v>8.8255239339402977E-2</v>
      </c>
      <c r="AC31" s="54">
        <f t="shared" ref="AC31:AH31" si="121">SUM(AC29:AC30)</f>
        <v>0.10064425949999999</v>
      </c>
      <c r="AD31" s="54">
        <f t="shared" si="121"/>
        <v>9.9297974999999997E-2</v>
      </c>
      <c r="AE31" s="54">
        <f t="shared" si="121"/>
        <v>0.10149626699999999</v>
      </c>
      <c r="AF31" s="54">
        <f t="shared" si="121"/>
        <v>0.106450377</v>
      </c>
      <c r="AG31" s="54">
        <f t="shared" si="121"/>
        <v>0.11753574899999999</v>
      </c>
      <c r="AH31" s="54">
        <f t="shared" si="121"/>
        <v>0.11356507199999999</v>
      </c>
      <c r="AM31" s="30" t="str">
        <f t="shared" si="101"/>
        <v xml:space="preserve">Total </v>
      </c>
      <c r="AN31" s="54">
        <f>SUM(AN29:AN30)</f>
        <v>0.35173068933940299</v>
      </c>
      <c r="AO31" s="54">
        <f t="shared" ref="AO31:AT31" si="122">SUM(AO29:AO30)</f>
        <v>0.40114320299999995</v>
      </c>
      <c r="AP31" s="54">
        <f t="shared" si="122"/>
        <v>0.39631147499999997</v>
      </c>
      <c r="AQ31" s="54">
        <f t="shared" si="122"/>
        <v>0.405124767</v>
      </c>
      <c r="AR31" s="54">
        <f t="shared" si="122"/>
        <v>0.42529337700000003</v>
      </c>
      <c r="AS31" s="54">
        <f t="shared" si="122"/>
        <v>0.46945374899999998</v>
      </c>
      <c r="AT31" s="54">
        <f t="shared" si="122"/>
        <v>0.453576072</v>
      </c>
      <c r="AU31" s="87"/>
      <c r="AW31" s="30" t="s">
        <v>4</v>
      </c>
      <c r="AX31" s="54">
        <f>SUM(AX29:AX30)</f>
        <v>12414.582571170002</v>
      </c>
      <c r="AY31" s="54">
        <f t="shared" ref="AY31:BD31" si="123">SUM(AY29:AY30)</f>
        <v>14158.832907379498</v>
      </c>
      <c r="AZ31" s="54">
        <f t="shared" si="123"/>
        <v>13991.147839724999</v>
      </c>
      <c r="BA31" s="54">
        <f t="shared" si="123"/>
        <v>14302.498672377</v>
      </c>
      <c r="BB31" s="54">
        <f t="shared" si="123"/>
        <v>15016.634567786999</v>
      </c>
      <c r="BC31" s="54">
        <f t="shared" si="123"/>
        <v>16575.204143918996</v>
      </c>
      <c r="BD31" s="54">
        <f t="shared" si="123"/>
        <v>16014.506816831999</v>
      </c>
    </row>
    <row r="32" spans="2:56" x14ac:dyDescent="0.25">
      <c r="B32" s="9"/>
    </row>
    <row r="33" spans="2:56" x14ac:dyDescent="0.25">
      <c r="N33" s="52">
        <f>N31/Summary!D19</f>
        <v>1.2155396855807805</v>
      </c>
      <c r="Q33" s="52">
        <f>Q31/Summary!D28</f>
        <v>1.1452608143396166</v>
      </c>
      <c r="AB33" s="52">
        <f>AB31/Summary!E19</f>
        <v>0.88255239339402969</v>
      </c>
      <c r="AE33" s="52">
        <f>AE31/Summary!E28</f>
        <v>1.1277362999999998</v>
      </c>
      <c r="AN33" s="52">
        <f>AN31/Summary!F19</f>
        <v>1.2561810333550105</v>
      </c>
      <c r="AQ33" s="52">
        <f>AQ31/Summary!F28</f>
        <v>1.1574993342857143</v>
      </c>
      <c r="AX33" s="52"/>
      <c r="BA33" s="52"/>
    </row>
    <row r="36" spans="2:56" s="69" customFormat="1" x14ac:dyDescent="0.25">
      <c r="B36" s="68" t="s">
        <v>100</v>
      </c>
      <c r="C36" s="68" t="str">
        <f t="shared" ref="C36:I36" si="124">C4</f>
        <v>2006-07</v>
      </c>
      <c r="D36" s="68" t="str">
        <f t="shared" si="124"/>
        <v>2007-08</v>
      </c>
      <c r="E36" s="68" t="str">
        <f t="shared" si="124"/>
        <v>2008-09</v>
      </c>
      <c r="F36" s="68" t="str">
        <f t="shared" si="124"/>
        <v>2009-10</v>
      </c>
      <c r="G36" s="68" t="str">
        <f t="shared" si="124"/>
        <v>2010-11</v>
      </c>
      <c r="H36" s="68" t="str">
        <f t="shared" si="124"/>
        <v>2011-12</v>
      </c>
      <c r="I36" s="68" t="str">
        <f t="shared" si="124"/>
        <v>2012-13</v>
      </c>
      <c r="M36" s="68" t="str">
        <f>B36</f>
        <v>Navigation</v>
      </c>
      <c r="N36" s="70" t="str">
        <f t="shared" ref="N36:T36" si="125">C36</f>
        <v>2006-07</v>
      </c>
      <c r="O36" s="70" t="str">
        <f t="shared" si="125"/>
        <v>2007-08</v>
      </c>
      <c r="P36" s="70" t="str">
        <f t="shared" si="125"/>
        <v>2008-09</v>
      </c>
      <c r="Q36" s="70" t="str">
        <f t="shared" si="125"/>
        <v>2009-10</v>
      </c>
      <c r="R36" s="70" t="str">
        <f t="shared" si="125"/>
        <v>2010-11</v>
      </c>
      <c r="S36" s="70" t="str">
        <f t="shared" si="125"/>
        <v>2011-12</v>
      </c>
      <c r="T36" s="70" t="str">
        <f t="shared" si="125"/>
        <v>2012-13</v>
      </c>
      <c r="AA36" s="68" t="str">
        <f>M36</f>
        <v>Navigation</v>
      </c>
      <c r="AB36" s="68" t="str">
        <f>N36</f>
        <v>2006-07</v>
      </c>
      <c r="AC36" s="68" t="str">
        <f t="shared" ref="AC36:AH36" si="126">O36</f>
        <v>2007-08</v>
      </c>
      <c r="AD36" s="68" t="str">
        <f t="shared" si="126"/>
        <v>2008-09</v>
      </c>
      <c r="AE36" s="68" t="str">
        <f t="shared" si="126"/>
        <v>2009-10</v>
      </c>
      <c r="AF36" s="68" t="str">
        <f t="shared" si="126"/>
        <v>2010-11</v>
      </c>
      <c r="AG36" s="68" t="str">
        <f t="shared" si="126"/>
        <v>2011-12</v>
      </c>
      <c r="AH36" s="68" t="str">
        <f t="shared" si="126"/>
        <v>2012-13</v>
      </c>
      <c r="AM36" s="68" t="str">
        <f>AA36</f>
        <v>Navigation</v>
      </c>
      <c r="AN36" s="68" t="str">
        <f t="shared" ref="AN36:AT36" si="127">AB36</f>
        <v>2006-07</v>
      </c>
      <c r="AO36" s="68" t="str">
        <f t="shared" si="127"/>
        <v>2007-08</v>
      </c>
      <c r="AP36" s="68" t="str">
        <f t="shared" si="127"/>
        <v>2008-09</v>
      </c>
      <c r="AQ36" s="68" t="str">
        <f t="shared" si="127"/>
        <v>2009-10</v>
      </c>
      <c r="AR36" s="68" t="str">
        <f t="shared" si="127"/>
        <v>2010-11</v>
      </c>
      <c r="AS36" s="68" t="str">
        <f t="shared" si="127"/>
        <v>2011-12</v>
      </c>
      <c r="AT36" s="68" t="str">
        <f t="shared" si="127"/>
        <v>2012-13</v>
      </c>
      <c r="AW36" s="68" t="s">
        <v>100</v>
      </c>
      <c r="AX36" s="68">
        <f t="shared" ref="AX36" si="128">AL36</f>
        <v>0</v>
      </c>
      <c r="AY36" s="68" t="str">
        <f t="shared" ref="AY36" si="129">AM36</f>
        <v>Navigation</v>
      </c>
      <c r="AZ36" s="68" t="str">
        <f t="shared" ref="AZ36" si="130">AN36</f>
        <v>2006-07</v>
      </c>
      <c r="BA36" s="68" t="str">
        <f t="shared" ref="BA36" si="131">AO36</f>
        <v>2007-08</v>
      </c>
      <c r="BB36" s="68" t="str">
        <f t="shared" ref="BB36" si="132">AP36</f>
        <v>2008-09</v>
      </c>
      <c r="BC36" s="68" t="str">
        <f t="shared" ref="BC36" si="133">AQ36</f>
        <v>2009-10</v>
      </c>
      <c r="BD36" s="68" t="str">
        <f t="shared" ref="BD36" si="134">AR36</f>
        <v>2010-11</v>
      </c>
    </row>
    <row r="37" spans="2:56" x14ac:dyDescent="0.25">
      <c r="B37" s="12" t="str">
        <f>'Raw Data'!B11</f>
        <v>HSDO (000 Tonnes)</v>
      </c>
      <c r="C37" s="73">
        <f>'Raw Data'!C14</f>
        <v>556.12091715790143</v>
      </c>
      <c r="D37" s="74">
        <f>'Raw Data'!D14</f>
        <v>618</v>
      </c>
      <c r="E37" s="74">
        <f>'Raw Data'!E14</f>
        <v>745.21</v>
      </c>
      <c r="F37" s="74">
        <f>'Raw Data'!F14</f>
        <v>667.91</v>
      </c>
      <c r="G37" s="74">
        <f>'Raw Data'!G14</f>
        <v>561.34</v>
      </c>
      <c r="H37" s="74">
        <f>'Raw Data'!H14</f>
        <v>539.75</v>
      </c>
      <c r="I37" s="74">
        <f>'Raw Data'!I14</f>
        <v>413.09</v>
      </c>
      <c r="M37" s="30" t="str">
        <f t="shared" ref="M37:M39" si="135">B37</f>
        <v>HSDO (000 Tonnes)</v>
      </c>
      <c r="N37" s="73">
        <f t="shared" ref="N37:T37" si="136">(C37*$C$48*$C$68)/10^3</f>
        <v>1771.9680783402212</v>
      </c>
      <c r="O37" s="74">
        <f t="shared" si="136"/>
        <v>1969.1333999999999</v>
      </c>
      <c r="P37" s="74">
        <f t="shared" si="136"/>
        <v>2374.4626230000003</v>
      </c>
      <c r="Q37" s="74">
        <f t="shared" si="136"/>
        <v>2128.1616329999993</v>
      </c>
      <c r="R37" s="74">
        <f t="shared" si="136"/>
        <v>1788.597642</v>
      </c>
      <c r="S37" s="74">
        <f t="shared" si="136"/>
        <v>1719.8054249999998</v>
      </c>
      <c r="T37" s="74">
        <f t="shared" si="136"/>
        <v>1316.2286669999999</v>
      </c>
      <c r="AA37" s="30" t="str">
        <f t="shared" ref="AA37:AA40" si="137">M37</f>
        <v>HSDO (000 Tonnes)</v>
      </c>
      <c r="AB37" s="73">
        <f t="shared" ref="AB37:AH37" si="138">(C37*$C$48*$AB$52)/10^6</f>
        <v>9.3261477807380075E-2</v>
      </c>
      <c r="AC37" s="83">
        <f t="shared" si="138"/>
        <v>0.1036386</v>
      </c>
      <c r="AD37" s="83">
        <f t="shared" si="138"/>
        <v>0.12497171700000001</v>
      </c>
      <c r="AE37" s="83">
        <f t="shared" si="138"/>
        <v>0.11200850699999998</v>
      </c>
      <c r="AF37" s="83">
        <f t="shared" si="138"/>
        <v>9.4136718000000008E-2</v>
      </c>
      <c r="AG37" s="83">
        <f t="shared" si="138"/>
        <v>9.0516075000000001E-2</v>
      </c>
      <c r="AH37" s="83">
        <f t="shared" si="138"/>
        <v>6.9275192999999999E-2</v>
      </c>
      <c r="AM37" s="30" t="str">
        <f t="shared" ref="AM37:AM40" si="139">AA37</f>
        <v>HSDO (000 Tonnes)</v>
      </c>
      <c r="AN37" s="165">
        <f t="shared" ref="AN37:AT37" si="140">(C37*$C$48*$AC$52)/10^6</f>
        <v>9.3261477807380075E-2</v>
      </c>
      <c r="AO37" s="83">
        <f t="shared" si="140"/>
        <v>0.1036386</v>
      </c>
      <c r="AP37" s="83">
        <f t="shared" si="140"/>
        <v>0.12497171700000001</v>
      </c>
      <c r="AQ37" s="83">
        <f t="shared" si="140"/>
        <v>0.11200850699999998</v>
      </c>
      <c r="AR37" s="83">
        <f t="shared" si="140"/>
        <v>9.4136718000000008E-2</v>
      </c>
      <c r="AS37" s="83">
        <f t="shared" si="140"/>
        <v>9.0516075000000001E-2</v>
      </c>
      <c r="AT37" s="83">
        <f t="shared" si="140"/>
        <v>6.9275192999999999E-2</v>
      </c>
      <c r="AW37" s="30" t="s">
        <v>37</v>
      </c>
      <c r="AX37" s="75">
        <f t="shared" ref="AX37" si="141">N37+21*AB37+310*AN37</f>
        <v>1802.837627494464</v>
      </c>
      <c r="AY37" s="75">
        <f t="shared" ref="AY37" si="142">O37+21*AC37+310*AO37</f>
        <v>2003.4377766</v>
      </c>
      <c r="AZ37" s="75">
        <f t="shared" ref="AZ37" si="143">P37+21*AD37+310*AP37</f>
        <v>2415.8282613270007</v>
      </c>
      <c r="BA37" s="75">
        <f t="shared" ref="BA37" si="144">Q37+21*AE37+310*AQ37</f>
        <v>2165.2364488169992</v>
      </c>
      <c r="BB37" s="75">
        <f t="shared" ref="BB37" si="145">R37+21*AF37+310*AR37</f>
        <v>1819.7568956579998</v>
      </c>
      <c r="BC37" s="75">
        <f t="shared" ref="BC37" si="146">S37+21*AG37+310*AS37</f>
        <v>1749.7662458249997</v>
      </c>
      <c r="BD37" s="75">
        <f t="shared" ref="BD37" si="147">T37+21*AH37+310*AT37</f>
        <v>1339.1587558829999</v>
      </c>
    </row>
    <row r="38" spans="2:56" x14ac:dyDescent="0.25">
      <c r="B38" s="12" t="str">
        <f>'Raw Data'!B20</f>
        <v>LDO (000 Tonnes)</v>
      </c>
      <c r="C38" s="73">
        <f>'Raw Data'!C22</f>
        <v>35.827286356821588</v>
      </c>
      <c r="D38" s="74">
        <f>'Raw Data'!D22</f>
        <v>33.19</v>
      </c>
      <c r="E38" s="74">
        <f>'Raw Data'!E22</f>
        <v>12.97</v>
      </c>
      <c r="F38" s="74">
        <f>'Raw Data'!F22</f>
        <v>4.49</v>
      </c>
      <c r="G38" s="74">
        <f>'Raw Data'!G22</f>
        <v>3.79</v>
      </c>
      <c r="H38" s="74">
        <f>'Raw Data'!H22</f>
        <v>1.7</v>
      </c>
      <c r="I38" s="74">
        <f>'Raw Data'!I22</f>
        <v>2.15</v>
      </c>
      <c r="M38" s="30" t="str">
        <f t="shared" si="135"/>
        <v>LDO (000 Tonnes)</v>
      </c>
      <c r="N38" s="73">
        <f t="shared" ref="N38:T38" si="148">(C38*$C$56*$C$73)/10^3</f>
        <v>114.1564825187406</v>
      </c>
      <c r="O38" s="74">
        <f t="shared" si="148"/>
        <v>105.75329699999998</v>
      </c>
      <c r="P38" s="74">
        <f t="shared" si="148"/>
        <v>41.326311000000004</v>
      </c>
      <c r="Q38" s="74">
        <f t="shared" si="148"/>
        <v>14.306487000000001</v>
      </c>
      <c r="R38" s="74">
        <f t="shared" si="148"/>
        <v>12.076077</v>
      </c>
      <c r="S38" s="74">
        <f t="shared" si="148"/>
        <v>5.4167099999999992</v>
      </c>
      <c r="T38" s="74">
        <f t="shared" si="148"/>
        <v>6.8505450000000003</v>
      </c>
      <c r="AA38" s="30" t="str">
        <f t="shared" si="137"/>
        <v>LDO (000 Tonnes)</v>
      </c>
      <c r="AB38" s="73">
        <f t="shared" ref="AB38:AH38" si="149">(C38*$C$56*$AB$55)/10^6</f>
        <v>1.5405733133433281E-2</v>
      </c>
      <c r="AC38" s="83">
        <f t="shared" si="149"/>
        <v>1.4271699999999998E-2</v>
      </c>
      <c r="AD38" s="83">
        <f t="shared" si="149"/>
        <v>5.5771000000000006E-3</v>
      </c>
      <c r="AE38" s="83">
        <f t="shared" si="149"/>
        <v>1.9307000000000003E-3</v>
      </c>
      <c r="AF38" s="83">
        <f t="shared" si="149"/>
        <v>1.6297E-3</v>
      </c>
      <c r="AG38" s="83">
        <f t="shared" si="149"/>
        <v>7.3099999999999999E-4</v>
      </c>
      <c r="AH38" s="83">
        <f t="shared" si="149"/>
        <v>9.2449999999999997E-4</v>
      </c>
      <c r="AM38" s="30" t="str">
        <f t="shared" si="139"/>
        <v>LDO (000 Tonnes)</v>
      </c>
      <c r="AN38" s="165">
        <f t="shared" ref="AN38:AT38" si="150">(C38*$C$56*$AC$55)/10^6</f>
        <v>9.2434398800599678E-4</v>
      </c>
      <c r="AO38" s="83">
        <f t="shared" si="150"/>
        <v>8.5630199999999987E-4</v>
      </c>
      <c r="AP38" s="83">
        <f t="shared" si="150"/>
        <v>3.3462600000000003E-4</v>
      </c>
      <c r="AQ38" s="83">
        <f t="shared" si="150"/>
        <v>1.1584200000000001E-4</v>
      </c>
      <c r="AR38" s="83">
        <f t="shared" si="150"/>
        <v>9.7781999999999993E-5</v>
      </c>
      <c r="AS38" s="83">
        <f t="shared" si="150"/>
        <v>4.385999999999999E-5</v>
      </c>
      <c r="AT38" s="83">
        <f t="shared" si="150"/>
        <v>5.5469999999999996E-5</v>
      </c>
      <c r="AW38" s="30" t="s">
        <v>40</v>
      </c>
      <c r="AX38" s="75">
        <f t="shared" ref="AX38:AX39" si="151">N38+21*AB38+310*AN38</f>
        <v>114.76654955082455</v>
      </c>
      <c r="AY38" s="75">
        <f t="shared" ref="AY38:AY39" si="152">O38+21*AC38+310*AO38</f>
        <v>106.31845631999998</v>
      </c>
      <c r="AZ38" s="75">
        <f t="shared" ref="AZ38:AZ39" si="153">P38+21*AD38+310*AP38</f>
        <v>41.547164160000001</v>
      </c>
      <c r="BA38" s="75">
        <f t="shared" ref="BA38:BA39" si="154">Q38+21*AE38+310*AQ38</f>
        <v>14.382942720000001</v>
      </c>
      <c r="BB38" s="75">
        <f t="shared" ref="BB38:BB39" si="155">R38+21*AF38+310*AR38</f>
        <v>12.140613119999999</v>
      </c>
      <c r="BC38" s="75">
        <f t="shared" ref="BC38:BC39" si="156">S38+21*AG38+310*AS38</f>
        <v>5.4456575999999988</v>
      </c>
      <c r="BD38" s="75">
        <f t="shared" ref="BD38:BD39" si="157">T38+21*AH38+310*AT38</f>
        <v>6.8871552000000005</v>
      </c>
    </row>
    <row r="39" spans="2:56" x14ac:dyDescent="0.25">
      <c r="B39" s="12" t="str">
        <f>'Raw Data'!B27</f>
        <v>Furnace Oil (000 Tonnes)</v>
      </c>
      <c r="C39" s="73">
        <f>'Raw Data'!C29</f>
        <v>254.34509346287894</v>
      </c>
      <c r="D39" s="74">
        <f>'Raw Data'!D29</f>
        <v>260.17</v>
      </c>
      <c r="E39" s="74">
        <f>'Raw Data'!E29</f>
        <v>431.06</v>
      </c>
      <c r="F39" s="74">
        <f>'Raw Data'!F29</f>
        <v>556.6</v>
      </c>
      <c r="G39" s="74">
        <f>'Raw Data'!G29</f>
        <v>776.15</v>
      </c>
      <c r="H39" s="74">
        <f>'Raw Data'!H29</f>
        <v>366.92</v>
      </c>
      <c r="I39" s="74">
        <f>'Raw Data'!I29</f>
        <v>272.7</v>
      </c>
      <c r="M39" s="30" t="str">
        <f t="shared" si="135"/>
        <v>Furnace Oil (000 Tonnes)</v>
      </c>
      <c r="N39" s="73">
        <f t="shared" ref="N39:T39" si="158">(C39*$C$54*$C$71)/10^3</f>
        <v>791.19280830553828</v>
      </c>
      <c r="O39" s="74">
        <f t="shared" si="158"/>
        <v>809.31238002000009</v>
      </c>
      <c r="P39" s="74">
        <f t="shared" si="158"/>
        <v>1340.9009283600001</v>
      </c>
      <c r="Q39" s="74">
        <f t="shared" si="158"/>
        <v>1731.4189596000001</v>
      </c>
      <c r="R39" s="74">
        <f t="shared" si="158"/>
        <v>2414.3744618999999</v>
      </c>
      <c r="S39" s="74">
        <f t="shared" si="158"/>
        <v>1141.38024552</v>
      </c>
      <c r="T39" s="74">
        <f t="shared" si="158"/>
        <v>848.28952619999995</v>
      </c>
      <c r="AA39" s="30" t="str">
        <f t="shared" si="137"/>
        <v>Furnace Oil (000 Tonnes)</v>
      </c>
      <c r="AB39" s="73">
        <f t="shared" ref="AB39:AH39" si="159">(C39*$C$54*$AB$68)/10^6</f>
        <v>7.1554905143911732E-2</v>
      </c>
      <c r="AC39" s="83">
        <f t="shared" si="159"/>
        <v>7.3193626099999992E-2</v>
      </c>
      <c r="AD39" s="83">
        <f t="shared" si="159"/>
        <v>0.12127010980000001</v>
      </c>
      <c r="AE39" s="83">
        <f t="shared" si="159"/>
        <v>0.156588278</v>
      </c>
      <c r="AF39" s="83">
        <f t="shared" si="159"/>
        <v>0.2183542795</v>
      </c>
      <c r="AG39" s="83">
        <f t="shared" si="159"/>
        <v>0.10322560359999999</v>
      </c>
      <c r="AH39" s="83">
        <f t="shared" si="159"/>
        <v>7.6718690999999992E-2</v>
      </c>
      <c r="AM39" s="30" t="str">
        <f t="shared" si="139"/>
        <v>Furnace Oil (000 Tonnes)</v>
      </c>
      <c r="AN39" s="165">
        <f t="shared" ref="AN39:AT39" si="160">(C39*$C$54*$AC$76)/10^6</f>
        <v>2.0444258612546208E-2</v>
      </c>
      <c r="AO39" s="83">
        <f t="shared" si="160"/>
        <v>2.09124646E-2</v>
      </c>
      <c r="AP39" s="83">
        <f t="shared" si="160"/>
        <v>3.4648602799999997E-2</v>
      </c>
      <c r="AQ39" s="83">
        <f t="shared" si="160"/>
        <v>4.4739508000000004E-2</v>
      </c>
      <c r="AR39" s="83">
        <f t="shared" si="160"/>
        <v>6.2386936999999996E-2</v>
      </c>
      <c r="AS39" s="83">
        <f t="shared" si="160"/>
        <v>2.9493029599999998E-2</v>
      </c>
      <c r="AT39" s="83">
        <f t="shared" si="160"/>
        <v>2.1919625999999998E-2</v>
      </c>
      <c r="AW39" s="30" t="s">
        <v>41</v>
      </c>
      <c r="AX39" s="75">
        <f t="shared" si="151"/>
        <v>799.03318148344965</v>
      </c>
      <c r="AY39" s="75">
        <f t="shared" si="152"/>
        <v>817.33231019410016</v>
      </c>
      <c r="AZ39" s="75">
        <f t="shared" si="153"/>
        <v>1354.1886675338001</v>
      </c>
      <c r="BA39" s="75">
        <f t="shared" si="154"/>
        <v>1748.576560918</v>
      </c>
      <c r="BB39" s="75">
        <f t="shared" si="155"/>
        <v>2438.2998522395001</v>
      </c>
      <c r="BC39" s="75">
        <f t="shared" si="156"/>
        <v>1152.6908223716</v>
      </c>
      <c r="BD39" s="75">
        <f t="shared" si="157"/>
        <v>856.69570277100001</v>
      </c>
    </row>
    <row r="40" spans="2:56" x14ac:dyDescent="0.25">
      <c r="M40" s="30" t="s">
        <v>4</v>
      </c>
      <c r="N40" s="54">
        <f>SUM(N37:N39)</f>
        <v>2677.3173691645002</v>
      </c>
      <c r="O40" s="54">
        <f t="shared" ref="O40:T40" si="161">SUM(O37:O39)</f>
        <v>2884.19907702</v>
      </c>
      <c r="P40" s="54">
        <f t="shared" si="161"/>
        <v>3756.68986236</v>
      </c>
      <c r="Q40" s="54">
        <f t="shared" si="161"/>
        <v>3873.8870795999992</v>
      </c>
      <c r="R40" s="54">
        <f t="shared" si="161"/>
        <v>4215.0481808999994</v>
      </c>
      <c r="S40" s="54">
        <f t="shared" si="161"/>
        <v>2866.6023805199998</v>
      </c>
      <c r="T40" s="54">
        <f t="shared" si="161"/>
        <v>2171.3687381999998</v>
      </c>
      <c r="AA40" s="30" t="str">
        <f t="shared" si="137"/>
        <v xml:space="preserve">Total </v>
      </c>
      <c r="AB40" s="54">
        <f>SUM(AB37:AB39)</f>
        <v>0.1802221160847251</v>
      </c>
      <c r="AC40" s="54">
        <f t="shared" ref="AC40:AH40" si="162">SUM(AC37:AC39)</f>
        <v>0.19110392609999999</v>
      </c>
      <c r="AD40" s="54">
        <f t="shared" si="162"/>
        <v>0.25181892680000001</v>
      </c>
      <c r="AE40" s="54">
        <f t="shared" si="162"/>
        <v>0.27052748499999996</v>
      </c>
      <c r="AF40" s="54">
        <f t="shared" si="162"/>
        <v>0.31412069749999999</v>
      </c>
      <c r="AG40" s="54">
        <f t="shared" si="162"/>
        <v>0.1944726786</v>
      </c>
      <c r="AH40" s="54">
        <f t="shared" si="162"/>
        <v>0.14691838399999999</v>
      </c>
      <c r="AM40" s="30" t="str">
        <f t="shared" si="139"/>
        <v xml:space="preserve">Total </v>
      </c>
      <c r="AN40" s="54">
        <f>SUM(AN37:AN39)</f>
        <v>0.11463008040793227</v>
      </c>
      <c r="AO40" s="54">
        <f t="shared" ref="AO40:AT40" si="163">SUM(AO37:AO39)</f>
        <v>0.12540736660000001</v>
      </c>
      <c r="AP40" s="54">
        <f t="shared" si="163"/>
        <v>0.15995494580000003</v>
      </c>
      <c r="AQ40" s="54">
        <f t="shared" si="163"/>
        <v>0.156863857</v>
      </c>
      <c r="AR40" s="54">
        <f t="shared" si="163"/>
        <v>0.156621437</v>
      </c>
      <c r="AS40" s="54">
        <f t="shared" si="163"/>
        <v>0.12005296460000001</v>
      </c>
      <c r="AT40" s="54">
        <f t="shared" si="163"/>
        <v>9.1250288999999998E-2</v>
      </c>
      <c r="AW40" s="30" t="s">
        <v>4</v>
      </c>
      <c r="AX40" s="54">
        <f>SUM(AX37:AX39)</f>
        <v>2716.6373585287383</v>
      </c>
      <c r="AY40" s="54">
        <f t="shared" ref="AY40:BD40" si="164">SUM(AY37:AY39)</f>
        <v>2927.0885431141</v>
      </c>
      <c r="AZ40" s="54">
        <f t="shared" si="164"/>
        <v>3811.564093020801</v>
      </c>
      <c r="BA40" s="54">
        <f t="shared" si="164"/>
        <v>3928.1959524549993</v>
      </c>
      <c r="BB40" s="54">
        <f t="shared" si="164"/>
        <v>4270.1973610175</v>
      </c>
      <c r="BC40" s="54">
        <f t="shared" si="164"/>
        <v>2907.9027257966</v>
      </c>
      <c r="BD40" s="54">
        <f t="shared" si="164"/>
        <v>2202.7416138540002</v>
      </c>
    </row>
    <row r="42" spans="2:56" x14ac:dyDescent="0.25">
      <c r="N42" s="52">
        <f>N40/Summary!D21</f>
        <v>1.8907608539297318</v>
      </c>
      <c r="Q42" s="52">
        <f>Q40/Summary!D30</f>
        <v>1.0601799894362052</v>
      </c>
      <c r="AB42" s="52">
        <f>AB40/Summary!E21</f>
        <v>1.3863239698825007</v>
      </c>
      <c r="AE42" s="52">
        <f>AE40/Summary!E30</f>
        <v>0.96616958928571406</v>
      </c>
      <c r="AN42" s="52">
        <f>AN40/Summary!F21</f>
        <v>2.8657520101983067</v>
      </c>
      <c r="AO42" s="52"/>
      <c r="AQ42" s="52">
        <f>AQ40/Summary!F30</f>
        <v>1.2066450538461537</v>
      </c>
    </row>
    <row r="44" spans="2:56" s="67" customFormat="1" x14ac:dyDescent="0.25"/>
    <row r="46" spans="2:56" x14ac:dyDescent="0.25">
      <c r="B46" s="53" t="s">
        <v>64</v>
      </c>
      <c r="W46" s="88"/>
    </row>
    <row r="47" spans="2:56" x14ac:dyDescent="0.25">
      <c r="B47" s="33" t="s">
        <v>21</v>
      </c>
      <c r="C47" s="62" t="s">
        <v>56</v>
      </c>
    </row>
    <row r="48" spans="2:56" x14ac:dyDescent="0.25">
      <c r="B48" s="30" t="s">
        <v>10</v>
      </c>
      <c r="C48" s="89">
        <v>43</v>
      </c>
    </row>
    <row r="49" spans="2:29" x14ac:dyDescent="0.25">
      <c r="B49" s="30" t="s">
        <v>11</v>
      </c>
      <c r="C49" s="89">
        <v>44.3</v>
      </c>
      <c r="AA49" s="33" t="s">
        <v>67</v>
      </c>
      <c r="AB49" s="30"/>
      <c r="AC49" s="30"/>
    </row>
    <row r="50" spans="2:29" x14ac:dyDescent="0.25">
      <c r="B50" s="30" t="s">
        <v>58</v>
      </c>
      <c r="C50" s="89">
        <v>43.8</v>
      </c>
      <c r="AA50" s="50" t="s">
        <v>68</v>
      </c>
      <c r="AB50" s="34" t="s">
        <v>60</v>
      </c>
      <c r="AC50" s="34" t="s">
        <v>61</v>
      </c>
    </row>
    <row r="51" spans="2:29" x14ac:dyDescent="0.25">
      <c r="B51" s="30" t="s">
        <v>59</v>
      </c>
      <c r="C51" s="89">
        <v>48</v>
      </c>
      <c r="AA51" s="30" t="s">
        <v>62</v>
      </c>
      <c r="AB51" s="90">
        <v>33</v>
      </c>
      <c r="AC51" s="90">
        <v>3.2</v>
      </c>
    </row>
    <row r="52" spans="2:29" x14ac:dyDescent="0.25">
      <c r="B52" s="12" t="s">
        <v>23</v>
      </c>
      <c r="C52" s="89">
        <v>47.3</v>
      </c>
      <c r="AA52" s="30" t="s">
        <v>63</v>
      </c>
      <c r="AB52" s="90">
        <v>3.9</v>
      </c>
      <c r="AC52" s="90">
        <v>3.9</v>
      </c>
    </row>
    <row r="53" spans="2:29" x14ac:dyDescent="0.25">
      <c r="B53" s="12" t="s">
        <v>12</v>
      </c>
      <c r="C53" s="89">
        <v>44.1</v>
      </c>
      <c r="AA53" s="30" t="s">
        <v>59</v>
      </c>
      <c r="AB53" s="90">
        <v>92</v>
      </c>
      <c r="AC53" s="90">
        <v>3</v>
      </c>
    </row>
    <row r="54" spans="2:29" x14ac:dyDescent="0.25">
      <c r="B54" s="12" t="s">
        <v>72</v>
      </c>
      <c r="C54" s="89">
        <v>40.19</v>
      </c>
      <c r="AA54" s="30" t="s">
        <v>23</v>
      </c>
      <c r="AB54" s="90">
        <v>62</v>
      </c>
      <c r="AC54" s="90">
        <v>0.2</v>
      </c>
    </row>
    <row r="55" spans="2:29" x14ac:dyDescent="0.25">
      <c r="B55" s="12" t="s">
        <v>98</v>
      </c>
      <c r="C55" s="89">
        <v>19.63</v>
      </c>
      <c r="AA55" s="12" t="s">
        <v>106</v>
      </c>
      <c r="AB55" s="90">
        <v>10</v>
      </c>
      <c r="AC55" s="90">
        <v>0.6</v>
      </c>
    </row>
    <row r="56" spans="2:29" x14ac:dyDescent="0.25">
      <c r="B56" s="12" t="s">
        <v>106</v>
      </c>
      <c r="C56" s="89">
        <v>43</v>
      </c>
      <c r="AA56" s="12" t="s">
        <v>43</v>
      </c>
      <c r="AB56" s="90">
        <v>3</v>
      </c>
      <c r="AC56" s="90">
        <v>0.6</v>
      </c>
    </row>
    <row r="58" spans="2:29" x14ac:dyDescent="0.25">
      <c r="AA58" s="33" t="s">
        <v>69</v>
      </c>
      <c r="AB58" s="30"/>
      <c r="AC58" s="30"/>
    </row>
    <row r="59" spans="2:29" x14ac:dyDescent="0.25">
      <c r="AA59" s="50" t="s">
        <v>68</v>
      </c>
      <c r="AB59" s="34" t="s">
        <v>60</v>
      </c>
      <c r="AC59" s="34" t="s">
        <v>61</v>
      </c>
    </row>
    <row r="60" spans="2:29" x14ac:dyDescent="0.25">
      <c r="AA60" s="30" t="s">
        <v>70</v>
      </c>
      <c r="AB60" s="90">
        <v>4.1500000000000004</v>
      </c>
      <c r="AC60" s="90">
        <v>28.6</v>
      </c>
    </row>
    <row r="61" spans="2:29" x14ac:dyDescent="0.25">
      <c r="AA61" s="12" t="s">
        <v>99</v>
      </c>
      <c r="AB61" s="90">
        <v>2</v>
      </c>
      <c r="AC61" s="90">
        <v>1.5</v>
      </c>
    </row>
    <row r="62" spans="2:29" x14ac:dyDescent="0.25">
      <c r="B62" s="53" t="s">
        <v>65</v>
      </c>
      <c r="AA62" s="55"/>
      <c r="AB62" s="55"/>
      <c r="AC62" s="55"/>
    </row>
    <row r="63" spans="2:29" x14ac:dyDescent="0.25">
      <c r="B63" s="33" t="s">
        <v>21</v>
      </c>
      <c r="C63" s="33" t="s">
        <v>57</v>
      </c>
      <c r="K63" s="69"/>
      <c r="L63" s="69"/>
      <c r="M63" s="69"/>
      <c r="N63" s="69"/>
      <c r="O63" s="69"/>
      <c r="P63" s="69"/>
      <c r="Q63" s="69"/>
      <c r="R63" s="69"/>
      <c r="S63" s="69"/>
      <c r="T63" s="69"/>
      <c r="U63" s="69"/>
      <c r="V63" s="69"/>
      <c r="W63" s="69"/>
    </row>
    <row r="64" spans="2:29" x14ac:dyDescent="0.25">
      <c r="B64" s="30" t="s">
        <v>22</v>
      </c>
      <c r="C64" s="91">
        <v>69.3</v>
      </c>
    </row>
    <row r="65" spans="2:30" x14ac:dyDescent="0.25">
      <c r="B65" s="30" t="s">
        <v>74</v>
      </c>
      <c r="C65" s="91">
        <v>71.5</v>
      </c>
      <c r="R65" s="34">
        <v>2007</v>
      </c>
      <c r="S65" s="92"/>
      <c r="T65" s="92" t="s">
        <v>52</v>
      </c>
      <c r="U65" s="92"/>
      <c r="AA65" s="33" t="s">
        <v>87</v>
      </c>
      <c r="AB65" s="30"/>
      <c r="AC65" s="30"/>
    </row>
    <row r="66" spans="2:30" x14ac:dyDescent="0.25">
      <c r="B66" s="30" t="s">
        <v>12</v>
      </c>
      <c r="C66" s="91">
        <v>70</v>
      </c>
      <c r="M66" s="33" t="s">
        <v>8</v>
      </c>
      <c r="N66" s="34" t="s">
        <v>120</v>
      </c>
      <c r="O66" s="34" t="s">
        <v>9</v>
      </c>
      <c r="R66" s="30" t="s">
        <v>109</v>
      </c>
      <c r="T66" s="93" t="s">
        <v>111</v>
      </c>
      <c r="U66" s="93" t="s">
        <v>112</v>
      </c>
      <c r="V66" s="93" t="s">
        <v>4</v>
      </c>
      <c r="AA66" s="50" t="s">
        <v>68</v>
      </c>
      <c r="AB66" s="34" t="s">
        <v>60</v>
      </c>
      <c r="AC66" s="34" t="s">
        <v>61</v>
      </c>
    </row>
    <row r="67" spans="2:30" x14ac:dyDescent="0.25">
      <c r="B67" s="30" t="s">
        <v>24</v>
      </c>
      <c r="C67" s="91">
        <v>71.900000000000006</v>
      </c>
      <c r="M67" s="30" t="s">
        <v>10</v>
      </c>
      <c r="N67" s="94">
        <v>0.65</v>
      </c>
      <c r="O67" s="89">
        <f>$O$71*N67</f>
        <v>1148.29</v>
      </c>
      <c r="R67" s="12">
        <f>O67*1000/C48</f>
        <v>26704.418604651164</v>
      </c>
      <c r="S67" s="52">
        <f>(C6+C18+C30+C37)/R67</f>
        <v>0.16855588500346344</v>
      </c>
      <c r="T67" s="82">
        <f>SUM(C6,C18,C30,C37)</f>
        <v>4501.1869114099309</v>
      </c>
      <c r="U67" s="32">
        <f>42896*51%</f>
        <v>21876.959999999999</v>
      </c>
      <c r="V67" s="82">
        <f>SUM(T67+U67)</f>
        <v>26378.146911409931</v>
      </c>
      <c r="W67" s="52">
        <f>V67/R67</f>
        <v>0.98778210834425706</v>
      </c>
      <c r="AA67" s="28" t="s">
        <v>86</v>
      </c>
      <c r="AB67" s="95" t="s">
        <v>182</v>
      </c>
      <c r="AC67" s="90" t="s">
        <v>73</v>
      </c>
    </row>
    <row r="68" spans="2:30" x14ac:dyDescent="0.25">
      <c r="B68" s="30" t="s">
        <v>10</v>
      </c>
      <c r="C68" s="91">
        <v>74.099999999999994</v>
      </c>
      <c r="M68" s="30" t="s">
        <v>11</v>
      </c>
      <c r="N68" s="94">
        <v>0.24</v>
      </c>
      <c r="O68" s="89">
        <f>$O$71*N68</f>
        <v>423.98399999999998</v>
      </c>
      <c r="R68" s="30">
        <f>O68*1000/C49</f>
        <v>9570.7449209932292</v>
      </c>
      <c r="S68" s="52">
        <f>C5/R68</f>
        <v>0.97014392052530274</v>
      </c>
      <c r="AA68" s="30"/>
      <c r="AB68" s="90">
        <v>7</v>
      </c>
      <c r="AC68" s="90">
        <v>2</v>
      </c>
    </row>
    <row r="69" spans="2:30" x14ac:dyDescent="0.25">
      <c r="B69" s="30" t="s">
        <v>23</v>
      </c>
      <c r="C69" s="91">
        <v>63.1</v>
      </c>
      <c r="M69" s="30" t="s">
        <v>12</v>
      </c>
      <c r="N69" s="94">
        <v>7.0000000000000007E-2</v>
      </c>
      <c r="O69" s="89">
        <f>$O$71*N69</f>
        <v>123.66200000000001</v>
      </c>
      <c r="R69" s="30">
        <f>O69*1000/C53</f>
        <v>2804.1269841269841</v>
      </c>
      <c r="S69" s="52">
        <f>R69/C29</f>
        <v>0.70402384738312429</v>
      </c>
      <c r="U69" s="52"/>
      <c r="V69" s="32" t="s">
        <v>110</v>
      </c>
    </row>
    <row r="70" spans="2:30" ht="31.5" x14ac:dyDescent="0.25">
      <c r="B70" s="30" t="s">
        <v>25</v>
      </c>
      <c r="C70" s="91">
        <v>56.1</v>
      </c>
      <c r="M70" s="28" t="s">
        <v>13</v>
      </c>
      <c r="N70" s="94">
        <v>0.04</v>
      </c>
      <c r="O70" s="89">
        <f>$O$71*N70</f>
        <v>70.664000000000001</v>
      </c>
    </row>
    <row r="71" spans="2:30" x14ac:dyDescent="0.25">
      <c r="B71" s="30" t="s">
        <v>71</v>
      </c>
      <c r="C71" s="91">
        <v>77.400000000000006</v>
      </c>
      <c r="M71" s="30" t="s">
        <v>4</v>
      </c>
      <c r="N71" s="96">
        <f>SUM(N67:N70)</f>
        <v>1</v>
      </c>
      <c r="O71" s="89">
        <v>1766.6</v>
      </c>
      <c r="T71" s="97" t="s">
        <v>29</v>
      </c>
      <c r="V71" s="82"/>
    </row>
    <row r="72" spans="2:30" x14ac:dyDescent="0.25">
      <c r="B72" s="12" t="s">
        <v>97</v>
      </c>
      <c r="C72" s="89">
        <v>93.91</v>
      </c>
    </row>
    <row r="73" spans="2:30" x14ac:dyDescent="0.25">
      <c r="B73" s="12" t="s">
        <v>44</v>
      </c>
      <c r="C73" s="89">
        <v>74.099999999999994</v>
      </c>
      <c r="AA73" s="53" t="s">
        <v>94</v>
      </c>
    </row>
    <row r="74" spans="2:30" ht="78.75" x14ac:dyDescent="0.25">
      <c r="AA74" s="50" t="s">
        <v>68</v>
      </c>
      <c r="AB74" s="57" t="s">
        <v>89</v>
      </c>
      <c r="AC74" s="57" t="s">
        <v>90</v>
      </c>
      <c r="AD74" s="57" t="s">
        <v>93</v>
      </c>
    </row>
    <row r="75" spans="2:30" x14ac:dyDescent="0.25">
      <c r="B75" s="12" t="s">
        <v>108</v>
      </c>
      <c r="C75" s="30">
        <v>0.76</v>
      </c>
      <c r="AA75" s="28" t="s">
        <v>88</v>
      </c>
      <c r="AB75" s="95" t="s">
        <v>91</v>
      </c>
      <c r="AC75" s="90" t="s">
        <v>92</v>
      </c>
      <c r="AD75" s="90" t="s">
        <v>183</v>
      </c>
    </row>
    <row r="76" spans="2:30" x14ac:dyDescent="0.25">
      <c r="AB76" s="90">
        <v>0.5</v>
      </c>
      <c r="AC76" s="90">
        <v>2</v>
      </c>
      <c r="AD76" s="98"/>
    </row>
    <row r="77" spans="2:30" x14ac:dyDescent="0.25">
      <c r="B77" s="12" t="s">
        <v>114</v>
      </c>
      <c r="C77" s="30">
        <v>21</v>
      </c>
    </row>
    <row r="78" spans="2:30" x14ac:dyDescent="0.25">
      <c r="B78" s="12" t="s">
        <v>113</v>
      </c>
      <c r="C78" s="30">
        <v>310</v>
      </c>
    </row>
  </sheetData>
  <pageMargins left="0.7" right="0.7" top="0.75" bottom="0.75" header="0.3" footer="0.3"/>
  <pageSetup paperSize="9" orientation="portrait" verticalDpi="0" r:id="rId1"/>
  <ignoredErrors>
    <ignoredError sqref="N7:T7" 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S65"/>
  <sheetViews>
    <sheetView zoomScale="91" zoomScaleNormal="91" workbookViewId="0">
      <selection activeCell="AR46" sqref="AR46"/>
    </sheetView>
  </sheetViews>
  <sheetFormatPr defaultRowHeight="15.75" x14ac:dyDescent="0.25"/>
  <cols>
    <col min="1" max="1" width="9.140625" style="32"/>
    <col min="2" max="2" width="30.85546875" style="32" bestFit="1" customWidth="1"/>
    <col min="3" max="3" width="12.42578125" style="32" customWidth="1"/>
    <col min="4" max="4" width="11.7109375" style="32" customWidth="1"/>
    <col min="5" max="5" width="12.140625" style="32" customWidth="1"/>
    <col min="6" max="6" width="11.7109375" style="32" customWidth="1"/>
    <col min="7" max="8" width="12.28515625" style="32" customWidth="1"/>
    <col min="9" max="9" width="12.42578125" style="32" customWidth="1"/>
    <col min="10" max="10" width="9.140625" style="32"/>
    <col min="11" max="11" width="30.85546875" style="32" bestFit="1" customWidth="1"/>
    <col min="12" max="18" width="9.42578125" style="32" bestFit="1" customWidth="1"/>
    <col min="19" max="20" width="9.140625" style="32"/>
    <col min="21" max="27" width="9.42578125" style="32" bestFit="1" customWidth="1"/>
    <col min="28" max="29" width="9.140625" style="32"/>
    <col min="30" max="30" width="14.5703125" style="32" customWidth="1"/>
    <col min="31" max="31" width="12.85546875" style="32" customWidth="1"/>
    <col min="32" max="32" width="13.28515625" style="32" customWidth="1"/>
    <col min="33" max="33" width="15.28515625" style="32" customWidth="1"/>
    <col min="34" max="34" width="12.28515625" style="32" customWidth="1"/>
    <col min="35" max="35" width="12.5703125" style="32" customWidth="1"/>
    <col min="36" max="36" width="10.7109375" style="32" bestFit="1" customWidth="1"/>
    <col min="37" max="37" width="9.140625" style="32"/>
    <col min="38" max="38" width="20.7109375" style="32" customWidth="1"/>
    <col min="39" max="39" width="11" style="32" customWidth="1"/>
    <col min="40" max="40" width="11.28515625" style="32" customWidth="1"/>
    <col min="41" max="41" width="11.7109375" style="32" customWidth="1"/>
    <col min="42" max="42" width="12.140625" style="32" customWidth="1"/>
    <col min="43" max="43" width="13" style="32" customWidth="1"/>
    <col min="44" max="44" width="11.140625" style="32" customWidth="1"/>
    <col min="45" max="45" width="11.42578125" style="32" customWidth="1"/>
    <col min="46" max="16384" width="9.140625" style="32"/>
  </cols>
  <sheetData>
    <row r="1" spans="2:45" ht="16.5" thickBot="1" x14ac:dyDescent="0.3"/>
    <row r="2" spans="2:45" ht="16.5" thickBot="1" x14ac:dyDescent="0.3">
      <c r="B2" s="174"/>
      <c r="C2" s="175" t="s">
        <v>104</v>
      </c>
      <c r="D2" s="175"/>
      <c r="E2" s="175"/>
      <c r="F2" s="175"/>
      <c r="G2" s="175"/>
      <c r="H2" s="175"/>
      <c r="I2" s="176"/>
      <c r="K2" s="174"/>
      <c r="L2" s="175" t="s">
        <v>103</v>
      </c>
      <c r="M2" s="175"/>
      <c r="N2" s="175"/>
      <c r="O2" s="175"/>
      <c r="P2" s="175"/>
      <c r="Q2" s="175"/>
      <c r="R2" s="176"/>
      <c r="T2" s="174" t="s">
        <v>105</v>
      </c>
      <c r="U2" s="175"/>
      <c r="V2" s="175"/>
      <c r="W2" s="175"/>
      <c r="X2" s="175"/>
      <c r="Y2" s="175"/>
      <c r="Z2" s="175"/>
      <c r="AA2" s="176"/>
      <c r="AC2" s="100" t="s">
        <v>146</v>
      </c>
      <c r="AD2" s="101"/>
      <c r="AE2" s="101"/>
      <c r="AF2" s="101"/>
      <c r="AG2" s="101"/>
      <c r="AH2" s="101"/>
      <c r="AI2" s="101"/>
      <c r="AJ2" s="103"/>
      <c r="AL2" s="214" t="s">
        <v>181</v>
      </c>
      <c r="AM2" s="215"/>
      <c r="AN2" s="215"/>
      <c r="AO2" s="215"/>
      <c r="AP2" s="215"/>
      <c r="AQ2" s="215"/>
      <c r="AR2" s="215"/>
      <c r="AS2" s="216"/>
    </row>
    <row r="3" spans="2:45" x14ac:dyDescent="0.25">
      <c r="B3" s="168"/>
      <c r="C3" s="55"/>
      <c r="D3" s="55"/>
      <c r="E3" s="55"/>
      <c r="F3" s="55"/>
      <c r="G3" s="55"/>
      <c r="H3" s="55"/>
      <c r="I3" s="169"/>
      <c r="K3" s="168"/>
      <c r="L3" s="55"/>
      <c r="M3" s="55"/>
      <c r="N3" s="55"/>
      <c r="O3" s="55"/>
      <c r="P3" s="55"/>
      <c r="Q3" s="55"/>
      <c r="R3" s="169"/>
      <c r="T3" s="168"/>
      <c r="U3" s="55"/>
      <c r="V3" s="55"/>
      <c r="W3" s="55"/>
      <c r="X3" s="55"/>
      <c r="Y3" s="55"/>
      <c r="Z3" s="55"/>
      <c r="AA3" s="169"/>
      <c r="AC3" s="168"/>
      <c r="AD3" s="55"/>
      <c r="AE3" s="55"/>
      <c r="AF3" s="55"/>
      <c r="AG3" s="55"/>
      <c r="AH3" s="55"/>
      <c r="AI3" s="55"/>
      <c r="AJ3" s="169"/>
      <c r="AL3" s="168"/>
      <c r="AM3" s="55"/>
      <c r="AN3" s="55"/>
      <c r="AO3" s="55"/>
      <c r="AP3" s="55"/>
      <c r="AQ3" s="55"/>
      <c r="AR3" s="55"/>
      <c r="AS3" s="169"/>
    </row>
    <row r="4" spans="2:45" x14ac:dyDescent="0.25">
      <c r="B4" s="182" t="s">
        <v>0</v>
      </c>
      <c r="C4" s="180" t="s">
        <v>52</v>
      </c>
      <c r="D4" s="180" t="s">
        <v>26</v>
      </c>
      <c r="E4" s="180" t="s">
        <v>27</v>
      </c>
      <c r="F4" s="180" t="s">
        <v>28</v>
      </c>
      <c r="G4" s="180" t="s">
        <v>29</v>
      </c>
      <c r="H4" s="180" t="s">
        <v>30</v>
      </c>
      <c r="I4" s="181" t="s">
        <v>31</v>
      </c>
      <c r="K4" s="177" t="s">
        <v>0</v>
      </c>
      <c r="L4" s="178" t="s">
        <v>52</v>
      </c>
      <c r="M4" s="178" t="s">
        <v>26</v>
      </c>
      <c r="N4" s="178" t="s">
        <v>27</v>
      </c>
      <c r="O4" s="178" t="s">
        <v>28</v>
      </c>
      <c r="P4" s="178" t="s">
        <v>29</v>
      </c>
      <c r="Q4" s="178" t="s">
        <v>30</v>
      </c>
      <c r="R4" s="179" t="s">
        <v>31</v>
      </c>
      <c r="T4" s="168" t="s">
        <v>0</v>
      </c>
      <c r="U4" s="55" t="s">
        <v>52</v>
      </c>
      <c r="V4" s="55" t="s">
        <v>26</v>
      </c>
      <c r="W4" s="55" t="s">
        <v>27</v>
      </c>
      <c r="X4" s="55" t="s">
        <v>28</v>
      </c>
      <c r="Y4" s="55" t="s">
        <v>29</v>
      </c>
      <c r="Z4" s="55" t="s">
        <v>30</v>
      </c>
      <c r="AA4" s="169" t="s">
        <v>31</v>
      </c>
      <c r="AC4" s="168" t="s">
        <v>0</v>
      </c>
      <c r="AD4" s="55" t="s">
        <v>52</v>
      </c>
      <c r="AE4" s="55" t="s">
        <v>26</v>
      </c>
      <c r="AF4" s="55" t="s">
        <v>27</v>
      </c>
      <c r="AG4" s="55" t="s">
        <v>28</v>
      </c>
      <c r="AH4" s="55" t="s">
        <v>29</v>
      </c>
      <c r="AI4" s="55" t="s">
        <v>30</v>
      </c>
      <c r="AJ4" s="169" t="s">
        <v>31</v>
      </c>
      <c r="AL4" s="177" t="s">
        <v>0</v>
      </c>
      <c r="AM4" s="178" t="s">
        <v>52</v>
      </c>
      <c r="AN4" s="178" t="s">
        <v>26</v>
      </c>
      <c r="AO4" s="178" t="s">
        <v>27</v>
      </c>
      <c r="AP4" s="178" t="s">
        <v>28</v>
      </c>
      <c r="AQ4" s="178" t="s">
        <v>29</v>
      </c>
      <c r="AR4" s="178" t="s">
        <v>30</v>
      </c>
      <c r="AS4" s="179" t="s">
        <v>31</v>
      </c>
    </row>
    <row r="5" spans="2:45" x14ac:dyDescent="0.25">
      <c r="B5" s="168" t="s">
        <v>48</v>
      </c>
      <c r="C5" s="170">
        <f>'Transport GHG Inventory'!N5</f>
        <v>28504.85715</v>
      </c>
      <c r="D5" s="170">
        <f>'Transport GHG Inventory'!O5</f>
        <v>31719.013880399994</v>
      </c>
      <c r="E5" s="170">
        <f>'Transport GHG Inventory'!P5</f>
        <v>34561.947419999997</v>
      </c>
      <c r="F5" s="170">
        <f>'Transport GHG Inventory'!Q5</f>
        <v>39351.131819999995</v>
      </c>
      <c r="G5" s="170">
        <f>'Transport GHG Inventory'!R5</f>
        <v>43575.438059999993</v>
      </c>
      <c r="H5" s="170">
        <f>'Transport GHG Inventory'!S5</f>
        <v>46025.290079999999</v>
      </c>
      <c r="I5" s="171">
        <f>'Transport GHG Inventory'!T5</f>
        <v>48333.922559999992</v>
      </c>
      <c r="J5" s="82"/>
      <c r="K5" s="192" t="str">
        <f>'Transport GHG Inventory'!AA5</f>
        <v>Motor Spirit (000 Tonnes)</v>
      </c>
      <c r="L5" s="170">
        <f>'Transport GHG Inventory'!AB5</f>
        <v>13.573741500000001</v>
      </c>
      <c r="M5" s="170">
        <f>'Transport GHG Inventory'!AC5</f>
        <v>15.104292323999998</v>
      </c>
      <c r="N5" s="170">
        <f>'Transport GHG Inventory'!AD5</f>
        <v>16.458070199999998</v>
      </c>
      <c r="O5" s="170">
        <f>'Transport GHG Inventory'!AE5</f>
        <v>18.738634199999996</v>
      </c>
      <c r="P5" s="170">
        <f>'Transport GHG Inventory'!AF5</f>
        <v>20.750208599999997</v>
      </c>
      <c r="Q5" s="170">
        <f>'Transport GHG Inventory'!AG5</f>
        <v>21.916804800000001</v>
      </c>
      <c r="R5" s="171">
        <f>'Transport GHG Inventory'!AH5</f>
        <v>23.016153599999999</v>
      </c>
      <c r="S5" s="82"/>
      <c r="T5" s="192" t="str">
        <f>'Transport GHG Inventory'!AM5</f>
        <v>Motor Spirit (000 Tonnes)</v>
      </c>
      <c r="U5" s="170">
        <f>'Transport GHG Inventory'!AN5</f>
        <v>1.3162416000000001</v>
      </c>
      <c r="V5" s="170">
        <f>'Transport GHG Inventory'!AO5</f>
        <v>1.4646586495999998</v>
      </c>
      <c r="W5" s="170">
        <f>'Transport GHG Inventory'!AP5</f>
        <v>1.5959340800000001</v>
      </c>
      <c r="X5" s="170">
        <f>'Transport GHG Inventory'!AQ5</f>
        <v>1.8170796799999998</v>
      </c>
      <c r="Y5" s="170">
        <f>'Transport GHG Inventory'!AR5</f>
        <v>2.0121414399999997</v>
      </c>
      <c r="Z5" s="170">
        <f>'Transport GHG Inventory'!AS5</f>
        <v>2.1252659199999999</v>
      </c>
      <c r="AA5" s="171">
        <f>'Transport GHG Inventory'!AT5</f>
        <v>2.2318694400000001</v>
      </c>
      <c r="AB5" s="82"/>
      <c r="AC5" s="192" t="str">
        <f>'Transport GHG Inventory'!AW5</f>
        <v>Motor Spirit (000 Tonnes)</v>
      </c>
      <c r="AD5" s="170">
        <f>'Transport GHG Inventory'!AX5</f>
        <v>29197.9406175</v>
      </c>
      <c r="AE5" s="170">
        <f>'Transport GHG Inventory'!AY5</f>
        <v>32490.248200579994</v>
      </c>
      <c r="AF5" s="170">
        <f>'Transport GHG Inventory'!AZ5</f>
        <v>35402.306458999999</v>
      </c>
      <c r="AG5" s="170">
        <f>'Transport GHG Inventory'!BA5</f>
        <v>40307.937838999991</v>
      </c>
      <c r="AH5" s="170">
        <f>'Transport GHG Inventory'!BB5</f>
        <v>44634.956286999994</v>
      </c>
      <c r="AI5" s="170">
        <f>'Transport GHG Inventory'!BC5</f>
        <v>47144.375415999995</v>
      </c>
      <c r="AJ5" s="171">
        <f>'Transport GHG Inventory'!BD5</f>
        <v>49509.141311999992</v>
      </c>
      <c r="AL5" s="192" t="s">
        <v>48</v>
      </c>
      <c r="AM5" s="55">
        <f>'Transport GHG Inventory'!C5*'Transport GHG Inventory'!$C$49*'Emission Factors'!$C$58</f>
        <v>9824.3408006473492</v>
      </c>
      <c r="AN5" s="55">
        <f>'Transport GHG Inventory'!D5*'Transport GHG Inventory'!$C$49*'Emission Factors'!$C$58</f>
        <v>10932.11590507877</v>
      </c>
      <c r="AO5" s="55">
        <f>'Transport GHG Inventory'!E5*'Transport GHG Inventory'!$C$49*'Emission Factors'!$C$58</f>
        <v>11911.947090327179</v>
      </c>
      <c r="AP5" s="55">
        <f>'Transport GHG Inventory'!F5*'Transport GHG Inventory'!$C$49*'Emission Factors'!$C$58</f>
        <v>13562.563315314777</v>
      </c>
      <c r="AQ5" s="55">
        <f>'Transport GHG Inventory'!G5*'Transport GHG Inventory'!$C$49*'Emission Factors'!$C$58</f>
        <v>15018.491472739739</v>
      </c>
      <c r="AR5" s="55">
        <f>'Transport GHG Inventory'!H5*'Transport GHG Inventory'!$C$49*'Emission Factors'!$C$58</f>
        <v>15862.845157060319</v>
      </c>
      <c r="AS5" s="169">
        <f>'Transport GHG Inventory'!I5*'Transport GHG Inventory'!$C$49*'Emission Factors'!$C$58</f>
        <v>16658.52682449024</v>
      </c>
    </row>
    <row r="6" spans="2:45" x14ac:dyDescent="0.25">
      <c r="B6" s="168" t="s">
        <v>37</v>
      </c>
      <c r="C6" s="170">
        <f>'Transport GHG Inventory'!N6</f>
        <v>6724.9342561500343</v>
      </c>
      <c r="D6" s="170">
        <f>'Transport GHG Inventory'!O6</f>
        <v>7473.211745999999</v>
      </c>
      <c r="E6" s="170">
        <f>'Transport GHG Inventory'!P6</f>
        <v>7581.7689869999986</v>
      </c>
      <c r="F6" s="170">
        <f>'Transport GHG Inventory'!Q6</f>
        <v>7756.3145009999989</v>
      </c>
      <c r="G6" s="170">
        <f>'Transport GHG Inventory'!R6</f>
        <v>7912.8892829999986</v>
      </c>
      <c r="H6" s="170">
        <f>'Transport GHG Inventory'!S6</f>
        <v>8151.7980569999982</v>
      </c>
      <c r="I6" s="171">
        <f>'Transport GHG Inventory'!T6</f>
        <v>7032.7057709999999</v>
      </c>
      <c r="J6" s="82"/>
      <c r="K6" s="192" t="str">
        <f>'Transport GHG Inventory'!AA6</f>
        <v>HSDO (000 Tonnes)</v>
      </c>
      <c r="L6" s="170">
        <f>'Transport GHG Inventory'!AB6</f>
        <v>0.35394390821842292</v>
      </c>
      <c r="M6" s="170">
        <f>'Transport GHG Inventory'!AC6</f>
        <v>0.39332693400000002</v>
      </c>
      <c r="N6" s="170">
        <f>'Transport GHG Inventory'!AD6</f>
        <v>0.39904047299999995</v>
      </c>
      <c r="O6" s="170">
        <f>'Transport GHG Inventory'!AE6</f>
        <v>0.40822707899999999</v>
      </c>
      <c r="P6" s="170">
        <f>'Transport GHG Inventory'!AF6</f>
        <v>0.41646785699999994</v>
      </c>
      <c r="Q6" s="170">
        <f>'Transport GHG Inventory'!AG6</f>
        <v>0.42904200299999995</v>
      </c>
      <c r="R6" s="171">
        <f>'Transport GHG Inventory'!AH6</f>
        <v>0.37014240900000001</v>
      </c>
      <c r="S6" s="82"/>
      <c r="T6" s="192" t="str">
        <f>'Transport GHG Inventory'!AM6</f>
        <v>HSDO (000 Tonnes)</v>
      </c>
      <c r="U6" s="170">
        <f>'Transport GHG Inventory'!AN6</f>
        <v>0.35394390821842292</v>
      </c>
      <c r="V6" s="170">
        <f>'Transport GHG Inventory'!AO6</f>
        <v>0.39332693400000002</v>
      </c>
      <c r="W6" s="170">
        <f>'Transport GHG Inventory'!AP6</f>
        <v>0.39904047299999995</v>
      </c>
      <c r="X6" s="170">
        <f>'Transport GHG Inventory'!AQ6</f>
        <v>0.40822707899999999</v>
      </c>
      <c r="Y6" s="170">
        <f>'Transport GHG Inventory'!AR6</f>
        <v>0.41646785699999994</v>
      </c>
      <c r="Z6" s="170">
        <f>'Transport GHG Inventory'!AS6</f>
        <v>0.42904200299999995</v>
      </c>
      <c r="AA6" s="171">
        <f>'Transport GHG Inventory'!AT6</f>
        <v>0.37014240900000001</v>
      </c>
      <c r="AB6" s="82"/>
      <c r="AC6" s="192" t="str">
        <f>'Transport GHG Inventory'!AW6</f>
        <v>HSDO (000 Tonnes)</v>
      </c>
      <c r="AD6" s="170">
        <f>'Transport GHG Inventory'!AX6</f>
        <v>6842.0896897703324</v>
      </c>
      <c r="AE6" s="170">
        <f>'Transport GHG Inventory'!AY6</f>
        <v>7603.4029611539991</v>
      </c>
      <c r="AF6" s="170">
        <f>'Transport GHG Inventory'!AZ6</f>
        <v>7713.8513835629983</v>
      </c>
      <c r="AG6" s="170">
        <f>'Transport GHG Inventory'!BA6</f>
        <v>7891.4376641489989</v>
      </c>
      <c r="AH6" s="170">
        <f>'Transport GHG Inventory'!BB6</f>
        <v>8050.7401436669979</v>
      </c>
      <c r="AI6" s="170">
        <f>'Transport GHG Inventory'!BC6</f>
        <v>8293.8109599929976</v>
      </c>
      <c r="AJ6" s="171">
        <f>'Transport GHG Inventory'!BD6</f>
        <v>7155.2229083789998</v>
      </c>
      <c r="AL6" s="192" t="s">
        <v>37</v>
      </c>
      <c r="AM6" s="55">
        <f>'Transport GHG Inventory'!C6*'Transport GHG Inventory'!$C$48*'Emission Factors'!$C$58</f>
        <v>2167.642314002946</v>
      </c>
      <c r="AN6" s="55">
        <f>'Transport GHG Inventory'!D6*'Transport GHG Inventory'!$C$48*'Emission Factors'!$C$58</f>
        <v>2408.8339580894822</v>
      </c>
      <c r="AO6" s="55">
        <f>'Transport GHG Inventory'!E6*'Transport GHG Inventory'!$C$48*'Emission Factors'!$C$58</f>
        <v>2443.8251208458787</v>
      </c>
      <c r="AP6" s="55">
        <f>'Transport GHG Inventory'!F6*'Transport GHG Inventory'!$C$48*'Emission Factors'!$C$58</f>
        <v>2500.0862272678169</v>
      </c>
      <c r="AQ6" s="55">
        <f>'Transport GHG Inventory'!G6*'Transport GHG Inventory'!$C$48*'Emission Factors'!$C$58</f>
        <v>2550.5548429957107</v>
      </c>
      <c r="AR6" s="55">
        <f>'Transport GHG Inventory'!H6*'Transport GHG Inventory'!$C$48*'Emission Factors'!$C$58</f>
        <v>2627.5621040310689</v>
      </c>
      <c r="AS6" s="169">
        <f>'Transport GHG Inventory'!I6*'Transport GHG Inventory'!$C$48*'Emission Factors'!$C$58</f>
        <v>2266.846043470407</v>
      </c>
    </row>
    <row r="7" spans="2:45" x14ac:dyDescent="0.25">
      <c r="B7" s="168" t="s">
        <v>101</v>
      </c>
      <c r="C7" s="170">
        <f>'Transport GHG Inventory'!N7</f>
        <v>534.74660088639541</v>
      </c>
      <c r="D7" s="170">
        <f>'Transport GHG Inventory'!O7</f>
        <v>599.612167</v>
      </c>
      <c r="E7" s="170">
        <f>'Transport GHG Inventory'!P7</f>
        <v>540.69557079999981</v>
      </c>
      <c r="F7" s="170">
        <f>'Transport GHG Inventory'!Q7</f>
        <v>670.10912759999997</v>
      </c>
      <c r="G7" s="170">
        <f>'Transport GHG Inventory'!R7</f>
        <v>665.60233629999993</v>
      </c>
      <c r="H7" s="170">
        <f>'Transport GHG Inventory'!S7</f>
        <v>665.09494920000009</v>
      </c>
      <c r="I7" s="171">
        <f>'Transport GHG Inventory'!T7</f>
        <v>638.7108199999999</v>
      </c>
      <c r="J7" s="82"/>
      <c r="K7" s="192" t="str">
        <f>'Transport GHG Inventory'!AA7</f>
        <v>Auto LPG (000 Tonnes)</v>
      </c>
      <c r="L7" s="170">
        <f>'Transport GHG Inventory'!AB7</f>
        <v>0.52542455237648999</v>
      </c>
      <c r="M7" s="170">
        <f>'Transport GHG Inventory'!AC7</f>
        <v>0.58915933999999992</v>
      </c>
      <c r="N7" s="170">
        <f>'Transport GHG Inventory'!AD7</f>
        <v>0.53126981599999989</v>
      </c>
      <c r="O7" s="170">
        <f>'Transport GHG Inventory'!AE7</f>
        <v>0.65842735200000002</v>
      </c>
      <c r="P7" s="170">
        <f>'Transport GHG Inventory'!AF7</f>
        <v>0.65399912599999999</v>
      </c>
      <c r="Q7" s="170">
        <f>'Transport GHG Inventory'!AG7</f>
        <v>0.653500584</v>
      </c>
      <c r="R7" s="171">
        <f>'Transport GHG Inventory'!AH7</f>
        <v>0.62757639999999992</v>
      </c>
      <c r="S7" s="82"/>
      <c r="T7" s="192" t="str">
        <f>'Transport GHG Inventory'!AM7</f>
        <v>Auto LPG (000 Tonnes)</v>
      </c>
      <c r="U7" s="170">
        <f>'Transport GHG Inventory'!AN7</f>
        <v>1.6949179108919031E-3</v>
      </c>
      <c r="V7" s="170">
        <f>'Transport GHG Inventory'!AO7</f>
        <v>1.9005140000000001E-3</v>
      </c>
      <c r="W7" s="170">
        <f>'Transport GHG Inventory'!AP7</f>
        <v>1.7137735999999998E-3</v>
      </c>
      <c r="X7" s="170">
        <f>'Transport GHG Inventory'!AQ7</f>
        <v>2.1239592000000004E-3</v>
      </c>
      <c r="Y7" s="170">
        <f>'Transport GHG Inventory'!AR7</f>
        <v>2.1096746E-3</v>
      </c>
      <c r="Z7" s="170">
        <f>'Transport GHG Inventory'!AS7</f>
        <v>2.1080664000000002E-3</v>
      </c>
      <c r="AA7" s="171">
        <f>'Transport GHG Inventory'!AT7</f>
        <v>2.0244399999999997E-3</v>
      </c>
      <c r="AB7" s="82"/>
      <c r="AC7" s="192" t="str">
        <f>'Transport GHG Inventory'!AW7</f>
        <v>Auto LPG (000 Tonnes)</v>
      </c>
      <c r="AD7" s="170">
        <f>'Transport GHG Inventory'!AX7</f>
        <v>546.30594103867827</v>
      </c>
      <c r="AE7" s="170">
        <f>'Transport GHG Inventory'!AY7</f>
        <v>612.57367248000003</v>
      </c>
      <c r="AF7" s="170">
        <f>'Transport GHG Inventory'!AZ7</f>
        <v>552.38350675199979</v>
      </c>
      <c r="AG7" s="170">
        <f>'Transport GHG Inventory'!BA7</f>
        <v>684.59452934399997</v>
      </c>
      <c r="AH7" s="170">
        <f>'Transport GHG Inventory'!BB7</f>
        <v>679.99031707199993</v>
      </c>
      <c r="AI7" s="170">
        <f>'Transport GHG Inventory'!BC7</f>
        <v>679.47196204800002</v>
      </c>
      <c r="AJ7" s="171">
        <f>'Transport GHG Inventory'!BD7</f>
        <v>652.51750079999988</v>
      </c>
      <c r="AL7" s="192" t="s">
        <v>101</v>
      </c>
      <c r="AM7" s="55">
        <f>'Transport GHG Inventory'!C7*'Transport GHG Inventory'!$C$52*'Emission Factors'!$C$58</f>
        <v>202.41209438417133</v>
      </c>
      <c r="AN7" s="55">
        <f>'Transport GHG Inventory'!D7*'Transport GHG Inventory'!$C$52*'Emission Factors'!$C$58</f>
        <v>226.964985545529</v>
      </c>
      <c r="AO7" s="55">
        <f>'Transport GHG Inventory'!E7*'Transport GHG Inventory'!$C$52*'Emission Factors'!$C$58</f>
        <v>204.66389637345958</v>
      </c>
      <c r="AP7" s="55">
        <f>'Transport GHG Inventory'!F7*'Transport GHG Inventory'!$C$52*'Emission Factors'!$C$58</f>
        <v>253.64947015770122</v>
      </c>
      <c r="AQ7" s="55">
        <f>'Transport GHG Inventory'!G7*'Transport GHG Inventory'!$C$52*'Emission Factors'!$C$58</f>
        <v>251.94356110755808</v>
      </c>
      <c r="AR7" s="55">
        <f>'Transport GHG Inventory'!H7*'Transport GHG Inventory'!$C$52*'Emission Factors'!$C$58</f>
        <v>251.75150512178041</v>
      </c>
      <c r="AS7" s="169">
        <f>'Transport GHG Inventory'!I7*'Transport GHG Inventory'!$C$52*'Emission Factors'!$C$58</f>
        <v>241.76459386133999</v>
      </c>
    </row>
    <row r="8" spans="2:45" x14ac:dyDescent="0.25">
      <c r="B8" s="168" t="s">
        <v>40</v>
      </c>
      <c r="C8" s="170">
        <f>'Transport GHG Inventory'!N8</f>
        <v>0</v>
      </c>
      <c r="D8" s="170">
        <f>'Transport GHG Inventory'!O8</f>
        <v>0</v>
      </c>
      <c r="E8" s="170">
        <f>'Transport GHG Inventory'!P8</f>
        <v>0</v>
      </c>
      <c r="F8" s="170">
        <f>'Transport GHG Inventory'!Q8</f>
        <v>0</v>
      </c>
      <c r="G8" s="170">
        <f>'Transport GHG Inventory'!R8</f>
        <v>0</v>
      </c>
      <c r="H8" s="170">
        <f>'Transport GHG Inventory'!S8</f>
        <v>3.1862999999999995E-2</v>
      </c>
      <c r="I8" s="171">
        <f>'Transport GHG Inventory'!T8</f>
        <v>6.3725999999999991E-2</v>
      </c>
      <c r="J8" s="82"/>
      <c r="K8" s="192" t="str">
        <f>'Transport GHG Inventory'!AA8</f>
        <v>LDO (000 Tonnes)</v>
      </c>
      <c r="L8" s="170">
        <f>'Transport GHG Inventory'!AB8</f>
        <v>0</v>
      </c>
      <c r="M8" s="170">
        <f>'Transport GHG Inventory'!AC8</f>
        <v>0</v>
      </c>
      <c r="N8" s="170">
        <f>'Transport GHG Inventory'!AD8</f>
        <v>0</v>
      </c>
      <c r="O8" s="170">
        <f>'Transport GHG Inventory'!AE8</f>
        <v>0</v>
      </c>
      <c r="P8" s="170">
        <f>'Transport GHG Inventory'!AF8</f>
        <v>0</v>
      </c>
      <c r="Q8" s="170">
        <f>'Transport GHG Inventory'!AG8</f>
        <v>4.2999999999999995E-6</v>
      </c>
      <c r="R8" s="171">
        <f>'Transport GHG Inventory'!AH8</f>
        <v>8.599999999999999E-6</v>
      </c>
      <c r="S8" s="82"/>
      <c r="T8" s="192" t="str">
        <f>'Transport GHG Inventory'!AM8</f>
        <v>LDO (000 Tonnes)</v>
      </c>
      <c r="U8" s="170">
        <f>'Transport GHG Inventory'!AN8</f>
        <v>0</v>
      </c>
      <c r="V8" s="170">
        <f>'Transport GHG Inventory'!AO8</f>
        <v>0</v>
      </c>
      <c r="W8" s="170">
        <f>'Transport GHG Inventory'!AP8</f>
        <v>0</v>
      </c>
      <c r="X8" s="170">
        <f>'Transport GHG Inventory'!AQ8</f>
        <v>0</v>
      </c>
      <c r="Y8" s="170">
        <f>'Transport GHG Inventory'!AR8</f>
        <v>0</v>
      </c>
      <c r="Z8" s="170">
        <f>'Transport GHG Inventory'!AS8</f>
        <v>2.5800000000000001E-7</v>
      </c>
      <c r="AA8" s="171">
        <f>'Transport GHG Inventory'!AT8</f>
        <v>5.1600000000000001E-7</v>
      </c>
      <c r="AB8" s="82"/>
      <c r="AC8" s="192" t="str">
        <f>'Transport GHG Inventory'!AW8</f>
        <v>LDO (000 Tonnes)</v>
      </c>
      <c r="AD8" s="170">
        <f>'Transport GHG Inventory'!AX8</f>
        <v>0</v>
      </c>
      <c r="AE8" s="170">
        <f>'Transport GHG Inventory'!AY8</f>
        <v>0</v>
      </c>
      <c r="AF8" s="170">
        <f>'Transport GHG Inventory'!AZ8</f>
        <v>0</v>
      </c>
      <c r="AG8" s="170">
        <f>'Transport GHG Inventory'!BA8</f>
        <v>0</v>
      </c>
      <c r="AH8" s="170">
        <f>'Transport GHG Inventory'!BB8</f>
        <v>0</v>
      </c>
      <c r="AI8" s="170">
        <f>'Transport GHG Inventory'!BC8</f>
        <v>3.2033279999999997E-2</v>
      </c>
      <c r="AJ8" s="171">
        <f>'Transport GHG Inventory'!BD8</f>
        <v>6.4066559999999995E-2</v>
      </c>
      <c r="AL8" s="192" t="s">
        <v>40</v>
      </c>
      <c r="AM8" s="55">
        <f>'Transport GHG Inventory'!C8*'Transport GHG Inventory'!$C$56*'Emission Factors'!$C$58</f>
        <v>0</v>
      </c>
      <c r="AN8" s="55">
        <f>'Transport GHG Inventory'!D8*'Transport GHG Inventory'!$C$56*'Emission Factors'!$C$58</f>
        <v>0</v>
      </c>
      <c r="AO8" s="55">
        <f>'Transport GHG Inventory'!E8*'Transport GHG Inventory'!$C$56*'Emission Factors'!$C$58</f>
        <v>0</v>
      </c>
      <c r="AP8" s="55">
        <f>'Transport GHG Inventory'!F8*'Transport GHG Inventory'!$C$56*'Emission Factors'!$C$58</f>
        <v>0</v>
      </c>
      <c r="AQ8" s="55">
        <f>'Transport GHG Inventory'!G8*'Transport GHG Inventory'!$C$56*'Emission Factors'!$C$58</f>
        <v>0</v>
      </c>
      <c r="AR8" s="55">
        <f>'Transport GHG Inventory'!H8*'Transport GHG Inventory'!$C$56*'Emission Factors'!$C$58</f>
        <v>1.0270373571E-2</v>
      </c>
      <c r="AS8" s="169">
        <f>'Transport GHG Inventory'!I8*'Transport GHG Inventory'!$C$56*'Emission Factors'!$C$58</f>
        <v>2.0540747142E-2</v>
      </c>
    </row>
    <row r="9" spans="2:45" x14ac:dyDescent="0.25">
      <c r="B9" s="168" t="s">
        <v>41</v>
      </c>
      <c r="C9" s="170">
        <f>'Transport GHG Inventory'!N9</f>
        <v>166.8021890900518</v>
      </c>
      <c r="D9" s="170">
        <f>'Transport GHG Inventory'!O9</f>
        <v>170.62222409999998</v>
      </c>
      <c r="E9" s="170">
        <f>'Transport GHG Inventory'!P9</f>
        <v>104.30197218000001</v>
      </c>
      <c r="F9" s="170">
        <f>'Transport GHG Inventory'!Q9</f>
        <v>0.68435531999999999</v>
      </c>
      <c r="G9" s="170">
        <f>'Transport GHG Inventory'!R9</f>
        <v>0.27996354000000001</v>
      </c>
      <c r="H9" s="170">
        <f>'Transport GHG Inventory'!S9</f>
        <v>2.0841730200000002</v>
      </c>
      <c r="I9" s="171">
        <f>'Transport GHG Inventory'!T9</f>
        <v>4.1994531000000004</v>
      </c>
      <c r="J9" s="82"/>
      <c r="K9" s="192" t="str">
        <f>'Transport GHG Inventory'!AA9</f>
        <v>Furnace Oil (000 Tonnes)</v>
      </c>
      <c r="L9" s="170">
        <f>'Transport GHG Inventory'!AB9</f>
        <v>6.4652011275213861E-3</v>
      </c>
      <c r="M9" s="170">
        <f>'Transport GHG Inventory'!AC9</f>
        <v>6.6132644999999995E-3</v>
      </c>
      <c r="N9" s="170">
        <f>'Transport GHG Inventory'!AD9</f>
        <v>4.0427121E-3</v>
      </c>
      <c r="O9" s="170">
        <f>'Transport GHG Inventory'!AE9</f>
        <v>2.6525399999999998E-5</v>
      </c>
      <c r="P9" s="170">
        <f>'Transport GHG Inventory'!AF9</f>
        <v>1.0851299999999999E-5</v>
      </c>
      <c r="Q9" s="170">
        <f>'Transport GHG Inventory'!AG9</f>
        <v>8.0781899999999993E-5</v>
      </c>
      <c r="R9" s="171">
        <f>'Transport GHG Inventory'!AH9</f>
        <v>1.6276949999999998E-4</v>
      </c>
      <c r="S9" s="82"/>
      <c r="T9" s="192" t="str">
        <f>'Transport GHG Inventory'!AM9</f>
        <v>Furnace Oil (000 Tonnes)</v>
      </c>
      <c r="U9" s="170">
        <f>'Transport GHG Inventory'!AN9</f>
        <v>1.2930402255042772E-3</v>
      </c>
      <c r="V9" s="170">
        <f>'Transport GHG Inventory'!AO9</f>
        <v>1.3226528999999998E-3</v>
      </c>
      <c r="W9" s="170">
        <f>'Transport GHG Inventory'!AP9</f>
        <v>8.0854242000000004E-4</v>
      </c>
      <c r="X9" s="170">
        <f>'Transport GHG Inventory'!AQ9</f>
        <v>5.3050799999999997E-6</v>
      </c>
      <c r="Y9" s="170">
        <f>'Transport GHG Inventory'!AR9</f>
        <v>2.17026E-6</v>
      </c>
      <c r="Z9" s="170">
        <f>'Transport GHG Inventory'!AS9</f>
        <v>1.6156379999999999E-5</v>
      </c>
      <c r="AA9" s="171">
        <f>'Transport GHG Inventory'!AT9</f>
        <v>3.25539E-5</v>
      </c>
      <c r="AB9" s="82"/>
      <c r="AC9" s="192" t="str">
        <f>'Transport GHG Inventory'!AW9</f>
        <v>Furnace Oil (000 Tonnes)</v>
      </c>
      <c r="AD9" s="170">
        <f>'Transport GHG Inventory'!AX9</f>
        <v>167.33880078363609</v>
      </c>
      <c r="AE9" s="170">
        <f>'Transport GHG Inventory'!AY9</f>
        <v>171.17112505349999</v>
      </c>
      <c r="AF9" s="170">
        <f>'Transport GHG Inventory'!AZ9</f>
        <v>104.63751728430002</v>
      </c>
      <c r="AG9" s="170">
        <f>'Transport GHG Inventory'!BA9</f>
        <v>0.68655692820000003</v>
      </c>
      <c r="AH9" s="170">
        <f>'Transport GHG Inventory'!BB9</f>
        <v>0.2808641979</v>
      </c>
      <c r="AI9" s="170">
        <f>'Transport GHG Inventory'!BC9</f>
        <v>2.0908779177000003</v>
      </c>
      <c r="AJ9" s="171">
        <f>'Transport GHG Inventory'!BD9</f>
        <v>4.2129629685000003</v>
      </c>
      <c r="AL9" s="192" t="s">
        <v>41</v>
      </c>
      <c r="AM9" s="55">
        <f>'Transport GHG Inventory'!C9*'Transport GHG Inventory'!$C$54*'Emission Factors'!$C$58</f>
        <v>51.47289208627523</v>
      </c>
      <c r="AN9" s="55">
        <f>'Transport GHG Inventory'!D9*'Transport GHG Inventory'!$C$54*'Emission Factors'!$C$58</f>
        <v>52.651703053358546</v>
      </c>
      <c r="AO9" s="55">
        <f>'Transport GHG Inventory'!E9*'Transport GHG Inventory'!$C$54*'Emission Factors'!$C$58</f>
        <v>32.186173261241791</v>
      </c>
      <c r="AP9" s="55">
        <f>'Transport GHG Inventory'!F9*'Transport GHG Inventory'!$C$54*'Emission Factors'!$C$58</f>
        <v>0.21118276520945997</v>
      </c>
      <c r="AQ9" s="55">
        <f>'Transport GHG Inventory'!G9*'Transport GHG Inventory'!$C$54*'Emission Factors'!$C$58</f>
        <v>8.639294940386999E-2</v>
      </c>
      <c r="AR9" s="55">
        <f>'Transport GHG Inventory'!H9*'Transport GHG Inventory'!$C$54*'Emission Factors'!$C$58</f>
        <v>0.64314751222880995</v>
      </c>
      <c r="AS9" s="169">
        <f>'Transport GHG Inventory'!I9*'Transport GHG Inventory'!$C$54*'Emission Factors'!$C$58</f>
        <v>1.2958942410580501</v>
      </c>
    </row>
    <row r="10" spans="2:45" x14ac:dyDescent="0.25">
      <c r="B10" s="168" t="s">
        <v>83</v>
      </c>
      <c r="C10" s="170">
        <f>'Transport GHG Inventory'!N10</f>
        <v>1639.2395899647734</v>
      </c>
      <c r="D10" s="170">
        <f>'Transport GHG Inventory'!O10</f>
        <v>1858.8956005247194</v>
      </c>
      <c r="E10" s="170">
        <f>'Transport GHG Inventory'!P10</f>
        <v>2107.9852358399994</v>
      </c>
      <c r="F10" s="170">
        <f>'Transport GHG Inventory'!Q10</f>
        <v>2987.9308799999999</v>
      </c>
      <c r="G10" s="170">
        <f>'Transport GHG Inventory'!R10</f>
        <v>3312.12138048</v>
      </c>
      <c r="H10" s="170">
        <f>'Transport GHG Inventory'!S10</f>
        <v>4362.379084799999</v>
      </c>
      <c r="I10" s="171">
        <f>'Transport GHG Inventory'!T10</f>
        <v>3953.0325542399974</v>
      </c>
      <c r="J10" s="82"/>
      <c r="K10" s="192" t="str">
        <f>'Transport GHG Inventory'!AA10</f>
        <v>CNG (Million Cubic Meter) MCM</v>
      </c>
      <c r="L10" s="170">
        <f>'Transport GHG Inventory'!AB10</f>
        <v>2.6882360477140668</v>
      </c>
      <c r="M10" s="170">
        <f>'Transport GHG Inventory'!AC10</f>
        <v>3.0484562432847446</v>
      </c>
      <c r="N10" s="170">
        <f>'Transport GHG Inventory'!AD10</f>
        <v>3.456945484799999</v>
      </c>
      <c r="O10" s="170">
        <f>'Transport GHG Inventory'!AE10</f>
        <v>4.8999935999999993</v>
      </c>
      <c r="P10" s="170">
        <f>'Transport GHG Inventory'!AF10</f>
        <v>5.4316429056000004</v>
      </c>
      <c r="Q10" s="170">
        <f>'Transport GHG Inventory'!AG10</f>
        <v>7.1539906559999986</v>
      </c>
      <c r="R10" s="171">
        <f>'Transport GHG Inventory'!AH10</f>
        <v>6.4826915327999952</v>
      </c>
      <c r="S10" s="82"/>
      <c r="T10" s="192" t="str">
        <f>'Transport GHG Inventory'!AM10</f>
        <v>CNG (Million Cubic Meter) MCM</v>
      </c>
      <c r="U10" s="170">
        <f>'Transport GHG Inventory'!AN10</f>
        <v>8.7659871121110858E-2</v>
      </c>
      <c r="V10" s="170">
        <f>'Transport GHG Inventory'!AO10</f>
        <v>9.940618184624167E-2</v>
      </c>
      <c r="W10" s="170">
        <f>'Transport GHG Inventory'!AP10</f>
        <v>0.11272648319999996</v>
      </c>
      <c r="X10" s="170">
        <f>'Transport GHG Inventory'!AQ10</f>
        <v>0.15978239999999999</v>
      </c>
      <c r="Y10" s="170">
        <f>'Transport GHG Inventory'!AR10</f>
        <v>0.1771187904</v>
      </c>
      <c r="Z10" s="170">
        <f>'Transport GHG Inventory'!AS10</f>
        <v>0.23328230399999994</v>
      </c>
      <c r="AA10" s="171">
        <f>'Transport GHG Inventory'!AT10</f>
        <v>0.21139211519999981</v>
      </c>
      <c r="AB10" s="82"/>
      <c r="AC10" s="192" t="str">
        <f>'Transport GHG Inventory'!AW10</f>
        <v>CNG (Million Cubic Meter) MCM</v>
      </c>
      <c r="AD10" s="170">
        <f>'Transport GHG Inventory'!AX10</f>
        <v>1722.8671070143132</v>
      </c>
      <c r="AE10" s="170">
        <f>'Transport GHG Inventory'!AY10</f>
        <v>1953.7290980060338</v>
      </c>
      <c r="AF10" s="170">
        <f>'Transport GHG Inventory'!AZ10</f>
        <v>2215.526300812799</v>
      </c>
      <c r="AG10" s="170">
        <f>'Transport GHG Inventory'!BA10</f>
        <v>3140.3632895999999</v>
      </c>
      <c r="AH10" s="170">
        <f>'Transport GHG Inventory'!BB10</f>
        <v>3481.0927065216001</v>
      </c>
      <c r="AI10" s="170">
        <f>'Transport GHG Inventory'!BC10</f>
        <v>4584.9304028159986</v>
      </c>
      <c r="AJ10" s="171">
        <f>'Transport GHG Inventory'!BD10</f>
        <v>4154.7006321407971</v>
      </c>
      <c r="AL10" s="192" t="s">
        <v>83</v>
      </c>
      <c r="AM10" s="55">
        <f>'Transport GHG Inventory'!C10*'Transport GHG Inventory'!$C$51*'Emission Factors'!$C$58</f>
        <v>697.90668496087073</v>
      </c>
      <c r="AN10" s="55">
        <f>'Transport GHG Inventory'!D10*'Transport GHG Inventory'!$C$51*'Emission Factors'!$C$58</f>
        <v>791.4252890136903</v>
      </c>
      <c r="AO10" s="55">
        <f>'Transport GHG Inventory'!E10*'Transport GHG Inventory'!$C$51*'Emission Factors'!$C$58</f>
        <v>897.47526651864746</v>
      </c>
      <c r="AP10" s="55">
        <f>'Transport GHG Inventory'!F10*'Transport GHG Inventory'!$C$51*'Emission Factors'!$C$58</f>
        <v>1272.11235509376</v>
      </c>
      <c r="AQ10" s="55">
        <f>'Transport GHG Inventory'!G10*'Transport GHG Inventory'!$C$51*'Emission Factors'!$C$58</f>
        <v>1410.136545621433</v>
      </c>
      <c r="AR10" s="55">
        <f>'Transport GHG Inventory'!H10*'Transport GHG Inventory'!$C$51*'Emission Factors'!$C$58</f>
        <v>1857.2840384368892</v>
      </c>
      <c r="AS10" s="169">
        <f>'Transport GHG Inventory'!I10*'Transport GHG Inventory'!$C$51*'Emission Factors'!$C$58</f>
        <v>1683.0046457890433</v>
      </c>
    </row>
    <row r="11" spans="2:45" x14ac:dyDescent="0.25">
      <c r="B11" s="168" t="s">
        <v>129</v>
      </c>
      <c r="C11" s="170">
        <f>'Transport GHG Inventory'!N11</f>
        <v>89372.163490882245</v>
      </c>
      <c r="D11" s="170">
        <f>'Transport GHG Inventory'!O11</f>
        <v>99499.212611982861</v>
      </c>
      <c r="E11" s="170">
        <f>'Transport GHG Inventory'!P11</f>
        <v>94481.60008765028</v>
      </c>
      <c r="F11" s="170">
        <f>'Transport GHG Inventory'!Q11</f>
        <v>102926.67504686913</v>
      </c>
      <c r="G11" s="170">
        <f>'Transport GHG Inventory'!R11</f>
        <v>111294.96181475656</v>
      </c>
      <c r="H11" s="170">
        <f>'Transport GHG Inventory'!S11</f>
        <v>130102.38983039999</v>
      </c>
      <c r="I11" s="171">
        <f>'Transport GHG Inventory'!T11</f>
        <v>141506.69282880001</v>
      </c>
      <c r="J11" s="82"/>
      <c r="K11" s="192" t="str">
        <f>'Transport GHG Inventory'!AA11</f>
        <v>HSDO(000 Tonnes) - Retail</v>
      </c>
      <c r="L11" s="170">
        <f>'Transport GHG Inventory'!AB11</f>
        <v>4.7037980784674867</v>
      </c>
      <c r="M11" s="170">
        <f>'Transport GHG Inventory'!AC11</f>
        <v>5.2368006637885722</v>
      </c>
      <c r="N11" s="170">
        <f>'Transport GHG Inventory'!AD11</f>
        <v>4.9727157940868567</v>
      </c>
      <c r="O11" s="170">
        <f>'Transport GHG Inventory'!AE11</f>
        <v>5.4171934235194277</v>
      </c>
      <c r="P11" s="170">
        <f>'Transport GHG Inventory'!AF11</f>
        <v>5.8576295691977132</v>
      </c>
      <c r="Q11" s="170">
        <f>'Transport GHG Inventory'!AG11</f>
        <v>6.8474942015999991</v>
      </c>
      <c r="R11" s="171">
        <f>'Transport GHG Inventory'!AH11</f>
        <v>7.4477206752000003</v>
      </c>
      <c r="S11" s="82"/>
      <c r="T11" s="192" t="str">
        <f>'Transport GHG Inventory'!AM11</f>
        <v>HSDO(000 Tonnes) - Retail</v>
      </c>
      <c r="U11" s="170">
        <f>'Transport GHG Inventory'!AN11</f>
        <v>4.7037980784674867</v>
      </c>
      <c r="V11" s="170">
        <f>'Transport GHG Inventory'!AO11</f>
        <v>5.2368006637885722</v>
      </c>
      <c r="W11" s="170">
        <f>'Transport GHG Inventory'!AP11</f>
        <v>4.9727157940868567</v>
      </c>
      <c r="X11" s="170">
        <f>'Transport GHG Inventory'!AQ11</f>
        <v>5.4171934235194277</v>
      </c>
      <c r="Y11" s="170">
        <f>'Transport GHG Inventory'!AR11</f>
        <v>5.8576295691977132</v>
      </c>
      <c r="Z11" s="170">
        <f>'Transport GHG Inventory'!AS11</f>
        <v>6.8474942015999991</v>
      </c>
      <c r="AA11" s="171">
        <f>'Transport GHG Inventory'!AT11</f>
        <v>7.4477206752000003</v>
      </c>
      <c r="AB11" s="82"/>
      <c r="AC11" s="192" t="str">
        <f>'Transport GHG Inventory'!AW11</f>
        <v>HSDO(000 Tonnes) - Retail</v>
      </c>
      <c r="AD11" s="170">
        <f>'Transport GHG Inventory'!AX11</f>
        <v>90929.120654854982</v>
      </c>
      <c r="AE11" s="170">
        <f>'Transport GHG Inventory'!AY11</f>
        <v>101232.59363169687</v>
      </c>
      <c r="AF11" s="170">
        <f>'Transport GHG Inventory'!AZ11</f>
        <v>96127.56901549302</v>
      </c>
      <c r="AG11" s="170">
        <f>'Transport GHG Inventory'!BA11</f>
        <v>104719.76607005406</v>
      </c>
      <c r="AH11" s="170">
        <f>'Transport GHG Inventory'!BB11</f>
        <v>113233.837202161</v>
      </c>
      <c r="AI11" s="170">
        <f>'Transport GHG Inventory'!BC11</f>
        <v>132368.91041112959</v>
      </c>
      <c r="AJ11" s="171">
        <f>'Transport GHG Inventory'!BD11</f>
        <v>143971.8883722912</v>
      </c>
      <c r="AL11" s="192" t="s">
        <v>129</v>
      </c>
      <c r="AM11" s="55">
        <f>'Transport GHG Inventory'!C11*'Transport GHG Inventory'!$C$48*'Emission Factors'!$C$58</f>
        <v>28807.253111754955</v>
      </c>
      <c r="AN11" s="55">
        <f>'Transport GHG Inventory'!D11*'Transport GHG Inventory'!$C$48*'Emission Factors'!$C$58</f>
        <v>32071.496203917355</v>
      </c>
      <c r="AO11" s="55">
        <f>'Transport GHG Inventory'!E11*'Transport GHG Inventory'!$C$48*'Emission Factors'!$C$58</f>
        <v>30454.173445249813</v>
      </c>
      <c r="AP11" s="55">
        <f>'Transport GHG Inventory'!F11*'Transport GHG Inventory'!$C$48*'Emission Factors'!$C$58</f>
        <v>33176.267242640992</v>
      </c>
      <c r="AQ11" s="55">
        <f>'Transport GHG Inventory'!G11*'Transport GHG Inventory'!$C$48*'Emission Factors'!$C$58</f>
        <v>35873.609967916702</v>
      </c>
      <c r="AR11" s="55">
        <f>'Transport GHG Inventory'!H11*'Transport GHG Inventory'!$C$48*'Emission Factors'!$C$58</f>
        <v>41935.792173934635</v>
      </c>
      <c r="AS11" s="169">
        <f>'Transport GHG Inventory'!I11*'Transport GHG Inventory'!$C$48*'Emission Factors'!$C$58</f>
        <v>45611.731417271534</v>
      </c>
    </row>
    <row r="12" spans="2:45" x14ac:dyDescent="0.25">
      <c r="B12" s="177" t="s">
        <v>4</v>
      </c>
      <c r="C12" s="183">
        <f>SUM(C5:C11)</f>
        <v>126942.74327697349</v>
      </c>
      <c r="D12" s="183">
        <f t="shared" ref="D12:I12" si="0">SUM(D5:D11)</f>
        <v>141320.56823000757</v>
      </c>
      <c r="E12" s="183">
        <f t="shared" si="0"/>
        <v>139378.29927347027</v>
      </c>
      <c r="F12" s="183">
        <f t="shared" si="0"/>
        <v>153692.84573078912</v>
      </c>
      <c r="G12" s="183">
        <f t="shared" si="0"/>
        <v>166761.29283807654</v>
      </c>
      <c r="H12" s="183">
        <f t="shared" si="0"/>
        <v>189309.06803741999</v>
      </c>
      <c r="I12" s="184">
        <f t="shared" si="0"/>
        <v>201469.32771314</v>
      </c>
      <c r="J12" s="82"/>
      <c r="K12" s="194" t="str">
        <f>'Transport GHG Inventory'!AA12</f>
        <v xml:space="preserve">Total </v>
      </c>
      <c r="L12" s="183">
        <f>'Transport GHG Inventory'!AB12</f>
        <v>21.851609287903987</v>
      </c>
      <c r="M12" s="183">
        <f>'Transport GHG Inventory'!AC12</f>
        <v>24.37864876957331</v>
      </c>
      <c r="N12" s="183">
        <f>'Transport GHG Inventory'!AD12</f>
        <v>25.822084479986849</v>
      </c>
      <c r="O12" s="183">
        <f>'Transport GHG Inventory'!AE12</f>
        <v>30.122502179919422</v>
      </c>
      <c r="P12" s="183">
        <f>'Transport GHG Inventory'!AF12</f>
        <v>33.109958909097713</v>
      </c>
      <c r="Q12" s="183">
        <f>'Transport GHG Inventory'!AG12</f>
        <v>37.000917326499994</v>
      </c>
      <c r="R12" s="184">
        <f>'Transport GHG Inventory'!AH12</f>
        <v>37.944455986499996</v>
      </c>
      <c r="S12" s="82"/>
      <c r="T12" s="192" t="str">
        <f>'Transport GHG Inventory'!AM12</f>
        <v xml:space="preserve">Total </v>
      </c>
      <c r="U12" s="170">
        <f>'Transport GHG Inventory'!AN12</f>
        <v>6.4646314159434164</v>
      </c>
      <c r="V12" s="170">
        <f>'Transport GHG Inventory'!AO12</f>
        <v>7.1974155961348139</v>
      </c>
      <c r="W12" s="170">
        <f>'Transport GHG Inventory'!AP12</f>
        <v>7.0829391463068561</v>
      </c>
      <c r="X12" s="170">
        <f>'Transport GHG Inventory'!AQ12</f>
        <v>7.804411846799427</v>
      </c>
      <c r="Y12" s="170">
        <f>'Transport GHG Inventory'!AR12</f>
        <v>8.4654695014577115</v>
      </c>
      <c r="Z12" s="170">
        <f>'Transport GHG Inventory'!AS12</f>
        <v>9.6372089093799982</v>
      </c>
      <c r="AA12" s="171">
        <f>'Transport GHG Inventory'!AT12</f>
        <v>10.2631821493</v>
      </c>
      <c r="AB12" s="82"/>
      <c r="AC12" s="192" t="str">
        <f>'Transport GHG Inventory'!AW12</f>
        <v xml:space="preserve">Total </v>
      </c>
      <c r="AD12" s="170">
        <f>'Transport GHG Inventory'!AX12</f>
        <v>129405.66281096193</v>
      </c>
      <c r="AE12" s="170">
        <f>'Transport GHG Inventory'!AY12</f>
        <v>144063.7186889704</v>
      </c>
      <c r="AF12" s="170">
        <f>'Transport GHG Inventory'!AZ12</f>
        <v>142116.27418290512</v>
      </c>
      <c r="AG12" s="170">
        <f>'Transport GHG Inventory'!BA12</f>
        <v>156744.78594907525</v>
      </c>
      <c r="AH12" s="170">
        <f>'Transport GHG Inventory'!BB12</f>
        <v>170080.8975206195</v>
      </c>
      <c r="AI12" s="170">
        <f>'Transport GHG Inventory'!BC12</f>
        <v>193073.62206318427</v>
      </c>
      <c r="AJ12" s="171">
        <f>'Transport GHG Inventory'!BD12</f>
        <v>205447.74775513948</v>
      </c>
      <c r="AL12" s="194" t="s">
        <v>119</v>
      </c>
      <c r="AM12" s="178">
        <f>SUM(AM5:AM11)</f>
        <v>41751.027897836568</v>
      </c>
      <c r="AN12" s="178">
        <f t="shared" ref="AN12:AS12" si="1">SUM(AN5:AN11)</f>
        <v>46483.488044698184</v>
      </c>
      <c r="AO12" s="178">
        <f t="shared" si="1"/>
        <v>45944.270992576217</v>
      </c>
      <c r="AP12" s="178">
        <f t="shared" si="1"/>
        <v>50764.889793240261</v>
      </c>
      <c r="AQ12" s="178">
        <f t="shared" si="1"/>
        <v>55104.822783330543</v>
      </c>
      <c r="AR12" s="178">
        <f t="shared" si="1"/>
        <v>62535.888396470495</v>
      </c>
      <c r="AS12" s="178">
        <f t="shared" si="1"/>
        <v>66463.189959870768</v>
      </c>
    </row>
    <row r="13" spans="2:45" x14ac:dyDescent="0.25">
      <c r="B13" s="168"/>
      <c r="C13" s="170"/>
      <c r="D13" s="170"/>
      <c r="E13" s="170"/>
      <c r="F13" s="170"/>
      <c r="G13" s="170"/>
      <c r="H13" s="170"/>
      <c r="I13" s="171"/>
      <c r="J13" s="82"/>
      <c r="K13" s="194"/>
      <c r="L13" s="183"/>
      <c r="M13" s="183"/>
      <c r="N13" s="183"/>
      <c r="O13" s="183"/>
      <c r="P13" s="183"/>
      <c r="Q13" s="183"/>
      <c r="R13" s="184"/>
      <c r="S13" s="82"/>
      <c r="T13" s="192"/>
      <c r="U13" s="170"/>
      <c r="V13" s="170"/>
      <c r="W13" s="170"/>
      <c r="X13" s="170"/>
      <c r="Y13" s="170"/>
      <c r="Z13" s="170"/>
      <c r="AA13" s="171"/>
      <c r="AB13" s="82"/>
      <c r="AC13" s="192"/>
      <c r="AD13" s="170"/>
      <c r="AE13" s="170"/>
      <c r="AF13" s="170"/>
      <c r="AG13" s="170"/>
      <c r="AH13" s="170"/>
      <c r="AI13" s="170"/>
      <c r="AJ13" s="171"/>
      <c r="AL13" s="192"/>
      <c r="AM13" s="55"/>
      <c r="AN13" s="55"/>
      <c r="AO13" s="55"/>
      <c r="AP13" s="55"/>
      <c r="AQ13" s="55"/>
      <c r="AR13" s="55"/>
      <c r="AS13" s="169"/>
    </row>
    <row r="14" spans="2:45" x14ac:dyDescent="0.25">
      <c r="B14" s="177" t="s">
        <v>32</v>
      </c>
      <c r="C14" s="185" t="str">
        <f>'Transport GHG Inventory'!N17</f>
        <v>2006-07</v>
      </c>
      <c r="D14" s="185" t="str">
        <f>'Transport GHG Inventory'!O17</f>
        <v>2007-08</v>
      </c>
      <c r="E14" s="185" t="str">
        <f>'Transport GHG Inventory'!P17</f>
        <v>2008-09</v>
      </c>
      <c r="F14" s="185" t="str">
        <f>'Transport GHG Inventory'!Q17</f>
        <v>2009-10</v>
      </c>
      <c r="G14" s="185" t="str">
        <f>'Transport GHG Inventory'!R17</f>
        <v>2010-11</v>
      </c>
      <c r="H14" s="185" t="str">
        <f>'Transport GHG Inventory'!S17</f>
        <v>2011-12</v>
      </c>
      <c r="I14" s="186" t="str">
        <f>'Transport GHG Inventory'!T17</f>
        <v>2012-13</v>
      </c>
      <c r="J14" s="82"/>
      <c r="K14" s="194" t="str">
        <f>'Transport GHG Inventory'!AA17</f>
        <v>Railways</v>
      </c>
      <c r="L14" s="183" t="str">
        <f>'Transport GHG Inventory'!AB17</f>
        <v>2006-07</v>
      </c>
      <c r="M14" s="183" t="str">
        <f>'Transport GHG Inventory'!AC17</f>
        <v>2007-08</v>
      </c>
      <c r="N14" s="183" t="str">
        <f>'Transport GHG Inventory'!AD17</f>
        <v>2008-09</v>
      </c>
      <c r="O14" s="183" t="str">
        <f>'Transport GHG Inventory'!AE17</f>
        <v>2009-10</v>
      </c>
      <c r="P14" s="183" t="str">
        <f>'Transport GHG Inventory'!AF17</f>
        <v>2010-11</v>
      </c>
      <c r="Q14" s="183" t="str">
        <f>'Transport GHG Inventory'!AG17</f>
        <v>2011-12</v>
      </c>
      <c r="R14" s="184" t="str">
        <f>'Transport GHG Inventory'!AH17</f>
        <v>2012-13</v>
      </c>
      <c r="S14" s="82"/>
      <c r="T14" s="192" t="str">
        <f>'Transport GHG Inventory'!AM17</f>
        <v>Railways</v>
      </c>
      <c r="U14" s="170" t="str">
        <f>'Transport GHG Inventory'!AN17</f>
        <v>2006-07</v>
      </c>
      <c r="V14" s="170" t="str">
        <f>'Transport GHG Inventory'!AO17</f>
        <v>2007-08</v>
      </c>
      <c r="W14" s="170" t="str">
        <f>'Transport GHG Inventory'!AP17</f>
        <v>2008-09</v>
      </c>
      <c r="X14" s="170" t="str">
        <f>'Transport GHG Inventory'!AQ17</f>
        <v>2009-10</v>
      </c>
      <c r="Y14" s="170" t="str">
        <f>'Transport GHG Inventory'!AR17</f>
        <v>2010-11</v>
      </c>
      <c r="Z14" s="170" t="str">
        <f>'Transport GHG Inventory'!AS17</f>
        <v>2011-12</v>
      </c>
      <c r="AA14" s="171" t="str">
        <f>'Transport GHG Inventory'!AT17</f>
        <v>2012-13</v>
      </c>
      <c r="AB14" s="82"/>
      <c r="AC14" s="192" t="str">
        <f>'Transport GHG Inventory'!AW17</f>
        <v>Railways</v>
      </c>
      <c r="AD14" s="55" t="s">
        <v>52</v>
      </c>
      <c r="AE14" s="55" t="s">
        <v>26</v>
      </c>
      <c r="AF14" s="55" t="s">
        <v>27</v>
      </c>
      <c r="AG14" s="55" t="s">
        <v>28</v>
      </c>
      <c r="AH14" s="55" t="s">
        <v>29</v>
      </c>
      <c r="AI14" s="55" t="s">
        <v>30</v>
      </c>
      <c r="AJ14" s="169" t="s">
        <v>31</v>
      </c>
      <c r="AL14" s="194" t="s">
        <v>32</v>
      </c>
      <c r="AM14" s="178" t="s">
        <v>52</v>
      </c>
      <c r="AN14" s="178" t="s">
        <v>26</v>
      </c>
      <c r="AO14" s="178" t="s">
        <v>27</v>
      </c>
      <c r="AP14" s="178" t="s">
        <v>28</v>
      </c>
      <c r="AQ14" s="178" t="s">
        <v>29</v>
      </c>
      <c r="AR14" s="178" t="s">
        <v>30</v>
      </c>
      <c r="AS14" s="179" t="s">
        <v>31</v>
      </c>
    </row>
    <row r="15" spans="2:45" x14ac:dyDescent="0.25">
      <c r="B15" s="168" t="s">
        <v>37</v>
      </c>
      <c r="C15" s="187">
        <f>'Transport GHG Inventory'!N18</f>
        <v>5837.057823886551</v>
      </c>
      <c r="D15" s="187">
        <f>'Transport GHG Inventory'!O18</f>
        <v>6486.5420879999983</v>
      </c>
      <c r="E15" s="187">
        <f>'Transport GHG Inventory'!P18</f>
        <v>6902.0674709999994</v>
      </c>
      <c r="F15" s="187">
        <f>'Transport GHG Inventory'!Q18</f>
        <v>7203.2046839999985</v>
      </c>
      <c r="G15" s="187">
        <f>'Transport GHG Inventory'!R18</f>
        <v>7554.3349440000002</v>
      </c>
      <c r="H15" s="187">
        <f>'Transport GHG Inventory'!S18</f>
        <v>7740.351138</v>
      </c>
      <c r="I15" s="188">
        <f>'Transport GHG Inventory'!T18</f>
        <v>8087.817153</v>
      </c>
      <c r="J15" s="82"/>
      <c r="K15" s="192" t="str">
        <f>'Transport GHG Inventory'!AA18</f>
        <v>HSDO (000 Tonnes)</v>
      </c>
      <c r="L15" s="170">
        <f>'Transport GHG Inventory'!AB18</f>
        <v>0.32690674722171642</v>
      </c>
      <c r="M15" s="170">
        <f>'Transport GHG Inventory'!AC18</f>
        <v>0.36328137199999999</v>
      </c>
      <c r="N15" s="170">
        <f>'Transport GHG Inventory'!AD18</f>
        <v>0.38655303650000006</v>
      </c>
      <c r="O15" s="170">
        <f>'Transport GHG Inventory'!AE18</f>
        <v>0.40341834600000004</v>
      </c>
      <c r="P15" s="170">
        <f>'Transport GHG Inventory'!AF18</f>
        <v>0.42308353600000009</v>
      </c>
      <c r="Q15" s="170">
        <f>'Transport GHG Inventory'!AG18</f>
        <v>0.43350144700000004</v>
      </c>
      <c r="R15" s="171">
        <f>'Transport GHG Inventory'!AH18</f>
        <v>0.45296141950000002</v>
      </c>
      <c r="S15" s="82"/>
      <c r="T15" s="192" t="str">
        <f>'Transport GHG Inventory'!AM18</f>
        <v>HSDO (000 Tonnes)</v>
      </c>
      <c r="U15" s="170">
        <f>'Transport GHG Inventory'!AN18</f>
        <v>2.2528995109737568</v>
      </c>
      <c r="V15" s="170">
        <f>'Transport GHG Inventory'!AO18</f>
        <v>2.5035776480000003</v>
      </c>
      <c r="W15" s="170">
        <f>'Transport GHG Inventory'!AP18</f>
        <v>2.6639558659999998</v>
      </c>
      <c r="X15" s="170">
        <f>'Transport GHG Inventory'!AQ18</f>
        <v>2.7801842639999998</v>
      </c>
      <c r="Y15" s="170">
        <f>'Transport GHG Inventory'!AR18</f>
        <v>2.9157082240000003</v>
      </c>
      <c r="Z15" s="170">
        <f>'Transport GHG Inventory'!AS18</f>
        <v>2.9875039480000005</v>
      </c>
      <c r="AA15" s="171">
        <f>'Transport GHG Inventory'!AT18</f>
        <v>3.1216136380000004</v>
      </c>
      <c r="AB15" s="82"/>
      <c r="AC15" s="192" t="str">
        <f>'Transport GHG Inventory'!AW18</f>
        <v>HSDO (000 Tonnes)</v>
      </c>
      <c r="AD15" s="170">
        <f>'Transport GHG Inventory'!AX18</f>
        <v>6542.3217139800718</v>
      </c>
      <c r="AE15" s="170">
        <f>'Transport GHG Inventory'!AY18</f>
        <v>7270.2800676919987</v>
      </c>
      <c r="AF15" s="170">
        <f>'Transport GHG Inventory'!AZ18</f>
        <v>7736.0114032264992</v>
      </c>
      <c r="AG15" s="170">
        <f>'Transport GHG Inventory'!BA18</f>
        <v>8073.5335911059983</v>
      </c>
      <c r="AH15" s="170">
        <f>'Transport GHG Inventory'!BB18</f>
        <v>8467.0892476959998</v>
      </c>
      <c r="AI15" s="170">
        <f>'Transport GHG Inventory'!BC18</f>
        <v>8675.5808922670003</v>
      </c>
      <c r="AJ15" s="171">
        <f>'Transport GHG Inventory'!BD18</f>
        <v>9065.0295705895005</v>
      </c>
      <c r="AL15" s="192" t="s">
        <v>37</v>
      </c>
      <c r="AM15" s="170">
        <f>'Transport GHG Inventory'!C18*'Transport GHG Inventory'!$C$48*'Emission Factors'!$C$58</f>
        <v>1881.453862060798</v>
      </c>
      <c r="AN15" s="170">
        <f>'Transport GHG Inventory'!D18*'Transport GHG Inventory'!$C$48*'Emission Factors'!$C$58</f>
        <v>2090.8015700898959</v>
      </c>
      <c r="AO15" s="170">
        <f>'Transport GHG Inventory'!E18*'Transport GHG Inventory'!$C$48*'Emission Factors'!$C$58</f>
        <v>2224.7375118293071</v>
      </c>
      <c r="AP15" s="170">
        <f>'Transport GHG Inventory'!F18*'Transport GHG Inventory'!$C$48*'Emission Factors'!$C$58</f>
        <v>2321.8028124488278</v>
      </c>
      <c r="AQ15" s="170">
        <f>'Transport GHG Inventory'!G18*'Transport GHG Inventory'!$C$48*'Emission Factors'!$C$58</f>
        <v>2434.9823292012484</v>
      </c>
      <c r="AR15" s="170">
        <f>'Transport GHG Inventory'!H18*'Transport GHG Inventory'!$C$48*'Emission Factors'!$C$58</f>
        <v>2494.9407701087462</v>
      </c>
      <c r="AS15" s="171">
        <f>'Transport GHG Inventory'!I18*'Transport GHG Inventory'!$C$48*'Emission Factors'!$C$58</f>
        <v>2606.9391939005009</v>
      </c>
    </row>
    <row r="16" spans="2:45" x14ac:dyDescent="0.25">
      <c r="B16" s="168" t="s">
        <v>40</v>
      </c>
      <c r="C16" s="187">
        <f>'Transport GHG Inventory'!N19</f>
        <v>8.082788005997001</v>
      </c>
      <c r="D16" s="187">
        <f>'Transport GHG Inventory'!O19</f>
        <v>7.4878049999999998</v>
      </c>
      <c r="E16" s="187">
        <f>'Transport GHG Inventory'!P19</f>
        <v>6.7868189999999986</v>
      </c>
      <c r="F16" s="187">
        <f>'Transport GHG Inventory'!Q19</f>
        <v>5.6716139999999999</v>
      </c>
      <c r="G16" s="187">
        <f>'Transport GHG Inventory'!R19</f>
        <v>3.5686559999999998</v>
      </c>
      <c r="H16" s="187">
        <f>'Transport GHG Inventory'!S19</f>
        <v>2.6446289999999992</v>
      </c>
      <c r="I16" s="188">
        <f>'Transport GHG Inventory'!T19</f>
        <v>2.8676699999999999</v>
      </c>
      <c r="J16" s="82"/>
      <c r="K16" s="192" t="str">
        <f>'Transport GHG Inventory'!AA19</f>
        <v>LDO (000 Tonnes)</v>
      </c>
      <c r="L16" s="170">
        <f>'Transport GHG Inventory'!AB19</f>
        <v>1.0907946026986505E-3</v>
      </c>
      <c r="M16" s="170">
        <f>'Transport GHG Inventory'!AC19</f>
        <v>1.0104999999999999E-3</v>
      </c>
      <c r="N16" s="170">
        <f>'Transport GHG Inventory'!AD19</f>
        <v>9.1589999999999987E-4</v>
      </c>
      <c r="O16" s="170">
        <f>'Transport GHG Inventory'!AE19</f>
        <v>7.6540000000000006E-4</v>
      </c>
      <c r="P16" s="170">
        <f>'Transport GHG Inventory'!AF19</f>
        <v>4.816E-4</v>
      </c>
      <c r="Q16" s="170">
        <f>'Transport GHG Inventory'!AG19</f>
        <v>3.569E-4</v>
      </c>
      <c r="R16" s="171">
        <f>'Transport GHG Inventory'!AH19</f>
        <v>3.8699999999999997E-4</v>
      </c>
      <c r="S16" s="82"/>
      <c r="T16" s="192" t="str">
        <f>'Transport GHG Inventory'!AM19</f>
        <v>LDO (000 Tonnes)</v>
      </c>
      <c r="U16" s="170">
        <f>'Transport GHG Inventory'!AN19</f>
        <v>6.5447676161919029E-5</v>
      </c>
      <c r="V16" s="170">
        <f>'Transport GHG Inventory'!AO19</f>
        <v>6.0629999999999994E-5</v>
      </c>
      <c r="W16" s="170">
        <f>'Transport GHG Inventory'!AP19</f>
        <v>5.4953999999999996E-5</v>
      </c>
      <c r="X16" s="170">
        <f>'Transport GHG Inventory'!AQ19</f>
        <v>4.5924000000000003E-5</v>
      </c>
      <c r="Y16" s="170">
        <f>'Transport GHG Inventory'!AR19</f>
        <v>2.8895999999999999E-5</v>
      </c>
      <c r="Z16" s="170">
        <f>'Transport GHG Inventory'!AS19</f>
        <v>2.1413999999999999E-5</v>
      </c>
      <c r="AA16" s="171">
        <f>'Transport GHG Inventory'!AT19</f>
        <v>2.3220000000000001E-5</v>
      </c>
      <c r="AB16" s="82"/>
      <c r="AC16" s="192" t="str">
        <f>'Transport GHG Inventory'!AW19</f>
        <v>LDO (000 Tonnes)</v>
      </c>
      <c r="AD16" s="170">
        <f>'Transport GHG Inventory'!AX19</f>
        <v>8.1259834722638669</v>
      </c>
      <c r="AE16" s="170">
        <f>'Transport GHG Inventory'!AY19</f>
        <v>7.5278207999999998</v>
      </c>
      <c r="AF16" s="170">
        <f>'Transport GHG Inventory'!AZ19</f>
        <v>6.8230886399999982</v>
      </c>
      <c r="AG16" s="170">
        <f>'Transport GHG Inventory'!BA19</f>
        <v>5.7019238400000001</v>
      </c>
      <c r="AH16" s="170">
        <f>'Transport GHG Inventory'!BB19</f>
        <v>3.5877273599999997</v>
      </c>
      <c r="AI16" s="170">
        <f>'Transport GHG Inventory'!BC19</f>
        <v>2.6587622399999993</v>
      </c>
      <c r="AJ16" s="171">
        <f>'Transport GHG Inventory'!BD19</f>
        <v>2.8829951999999999</v>
      </c>
      <c r="AL16" s="192" t="s">
        <v>40</v>
      </c>
      <c r="AM16" s="170">
        <f>'Transport GHG Inventory'!C19*'Transport GHG Inventory'!$C$56*'Emission Factors'!$C$58</f>
        <v>2.6053181532431786</v>
      </c>
      <c r="AN16" s="170">
        <f>'Transport GHG Inventory'!D19*'Transport GHG Inventory'!$C$56*'Emission Factors'!$C$58</f>
        <v>2.4135377891849998</v>
      </c>
      <c r="AO16" s="170">
        <f>'Transport GHG Inventory'!E19*'Transport GHG Inventory'!$C$56*'Emission Factors'!$C$58</f>
        <v>2.187589570623</v>
      </c>
      <c r="AP16" s="170">
        <f>'Transport GHG Inventory'!F19*'Transport GHG Inventory'!$C$56*'Emission Factors'!$C$58</f>
        <v>1.8281264956380001</v>
      </c>
      <c r="AQ16" s="170">
        <f>'Transport GHG Inventory'!G19*'Transport GHG Inventory'!$C$56*'Emission Factors'!$C$58</f>
        <v>1.1502818399520001</v>
      </c>
      <c r="AR16" s="170">
        <f>'Transport GHG Inventory'!H19*'Transport GHG Inventory'!$C$56*'Emission Factors'!$C$58</f>
        <v>0.85244100639299991</v>
      </c>
      <c r="AS16" s="171">
        <f>'Transport GHG Inventory'!I19*'Transport GHG Inventory'!$C$56*'Emission Factors'!$C$58</f>
        <v>0.92433362139000008</v>
      </c>
    </row>
    <row r="17" spans="2:45" x14ac:dyDescent="0.25">
      <c r="B17" s="168" t="s">
        <v>33</v>
      </c>
      <c r="C17" s="187">
        <f>'Transport GHG Inventory'!N20</f>
        <v>2.5020498000657621</v>
      </c>
      <c r="D17" s="187">
        <f>'Transport GHG Inventory'!O20</f>
        <v>2.8055521999999997</v>
      </c>
      <c r="E17" s="187">
        <f>'Transport GHG Inventory'!P20</f>
        <v>2.3578576999999998</v>
      </c>
      <c r="F17" s="187">
        <f>'Transport GHG Inventory'!Q20</f>
        <v>2.2683187999999999</v>
      </c>
      <c r="G17" s="187">
        <f>'Transport GHG Inventory'!R20</f>
        <v>2.7757058999999997</v>
      </c>
      <c r="H17" s="187">
        <f>'Transport GHG Inventory'!S20</f>
        <v>2.5070891999999998</v>
      </c>
      <c r="I17" s="188">
        <f>'Transport GHG Inventory'!T20</f>
        <v>2.3280113999999998</v>
      </c>
      <c r="J17" s="82"/>
      <c r="K17" s="192" t="str">
        <f>'Transport GHG Inventory'!AA20</f>
        <v>LPG (000 Tonnes)</v>
      </c>
      <c r="L17" s="170">
        <f>'Transport GHG Inventory'!AB20</f>
        <v>2.4584324501438549E-3</v>
      </c>
      <c r="M17" s="170">
        <f>'Transport GHG Inventory'!AC20</f>
        <v>2.7566439999999999E-3</v>
      </c>
      <c r="N17" s="170">
        <f>'Transport GHG Inventory'!AD20</f>
        <v>2.3167539999999999E-3</v>
      </c>
      <c r="O17" s="170">
        <f>'Transport GHG Inventory'!AE20</f>
        <v>2.228776E-3</v>
      </c>
      <c r="P17" s="170">
        <f>'Transport GHG Inventory'!AF20</f>
        <v>2.7273179999999998E-3</v>
      </c>
      <c r="Q17" s="170">
        <f>'Transport GHG Inventory'!AG20</f>
        <v>2.4633839999999999E-3</v>
      </c>
      <c r="R17" s="171">
        <f>'Transport GHG Inventory'!AH20</f>
        <v>2.2874279999999998E-3</v>
      </c>
      <c r="S17" s="82"/>
      <c r="T17" s="192" t="str">
        <f>'Transport GHG Inventory'!AM20</f>
        <v>LPG (000 Tonnes)</v>
      </c>
      <c r="U17" s="170">
        <f>'Transport GHG Inventory'!AN20</f>
        <v>7.9304272585285654E-6</v>
      </c>
      <c r="V17" s="170">
        <f>'Transport GHG Inventory'!AO20</f>
        <v>8.8923999999999998E-6</v>
      </c>
      <c r="W17" s="170">
        <f>'Transport GHG Inventory'!AP20</f>
        <v>7.4733999999999995E-6</v>
      </c>
      <c r="X17" s="170">
        <f>'Transport GHG Inventory'!AQ20</f>
        <v>7.1896000000000006E-6</v>
      </c>
      <c r="Y17" s="170">
        <f>'Transport GHG Inventory'!AR20</f>
        <v>8.7978000000000007E-6</v>
      </c>
      <c r="Z17" s="170">
        <f>'Transport GHG Inventory'!AS20</f>
        <v>7.9464000000000007E-6</v>
      </c>
      <c r="AA17" s="171">
        <f>'Transport GHG Inventory'!AT20</f>
        <v>7.3788000000000004E-6</v>
      </c>
      <c r="AB17" s="82"/>
      <c r="AC17" s="192" t="str">
        <f>'Transport GHG Inventory'!AW20</f>
        <v>LPG (000 Tonnes)</v>
      </c>
      <c r="AD17" s="170">
        <f>'Transport GHG Inventory'!AX20</f>
        <v>2.5561353139689271</v>
      </c>
      <c r="AE17" s="170">
        <f>'Transport GHG Inventory'!AY20</f>
        <v>2.8661983680000001</v>
      </c>
      <c r="AF17" s="170">
        <f>'Transport GHG Inventory'!AZ20</f>
        <v>2.4088262880000002</v>
      </c>
      <c r="AG17" s="170">
        <f>'Transport GHG Inventory'!BA20</f>
        <v>2.3173518719999997</v>
      </c>
      <c r="AH17" s="170">
        <f>'Transport GHG Inventory'!BB20</f>
        <v>2.8357068959999996</v>
      </c>
      <c r="AI17" s="170">
        <f>'Transport GHG Inventory'!BC20</f>
        <v>2.5612836479999999</v>
      </c>
      <c r="AJ17" s="171">
        <f>'Transport GHG Inventory'!BD20</f>
        <v>2.3783348159999997</v>
      </c>
      <c r="AL17" s="192" t="s">
        <v>33</v>
      </c>
      <c r="AM17" s="170">
        <f>'Transport GHG Inventory'!C20*'Transport GHG Inventory'!$C$52*'Emission Factors'!$C$58</f>
        <v>0.9470750060782529</v>
      </c>
      <c r="AN17" s="170">
        <f>'Transport GHG Inventory'!D20*'Transport GHG Inventory'!$C$52*'Emission Factors'!$C$58</f>
        <v>1.0619566272413998</v>
      </c>
      <c r="AO17" s="170">
        <f>'Transport GHG Inventory'!E20*'Transport GHG Inventory'!$C$52*'Emission Factors'!$C$58</f>
        <v>0.89249546331989993</v>
      </c>
      <c r="AP17" s="170">
        <f>'Transport GHG Inventory'!F20*'Transport GHG Inventory'!$C$52*'Emission Factors'!$C$58</f>
        <v>0.85860323053560006</v>
      </c>
      <c r="AQ17" s="170">
        <f>'Transport GHG Inventory'!G20*'Transport GHG Inventory'!$C$52*'Emission Factors'!$C$58</f>
        <v>1.0506592163132999</v>
      </c>
      <c r="AR17" s="170">
        <f>'Transport GHG Inventory'!H20*'Transport GHG Inventory'!$C$52*'Emission Factors'!$C$58</f>
        <v>0.94898251796040001</v>
      </c>
      <c r="AS17" s="171">
        <f>'Transport GHG Inventory'!I20*'Transport GHG Inventory'!$C$52*'Emission Factors'!$C$58</f>
        <v>0.88119805239179994</v>
      </c>
    </row>
    <row r="18" spans="2:45" x14ac:dyDescent="0.25">
      <c r="B18" s="168" t="s">
        <v>41</v>
      </c>
      <c r="C18" s="187">
        <f>'Transport GHG Inventory'!N21</f>
        <v>0</v>
      </c>
      <c r="D18" s="187">
        <f>'Transport GHG Inventory'!O21</f>
        <v>0</v>
      </c>
      <c r="E18" s="187">
        <f>'Transport GHG Inventory'!P21</f>
        <v>12.2872887</v>
      </c>
      <c r="F18" s="187">
        <f>'Transport GHG Inventory'!Q21</f>
        <v>9.7054027200000004</v>
      </c>
      <c r="G18" s="187">
        <f>'Transport GHG Inventory'!R21</f>
        <v>12.100646340000001</v>
      </c>
      <c r="H18" s="187">
        <f>'Transport GHG Inventory'!S21</f>
        <v>10.514186280000001</v>
      </c>
      <c r="I18" s="188">
        <f>'Transport GHG Inventory'!T21</f>
        <v>8.0878356</v>
      </c>
      <c r="J18" s="82"/>
      <c r="K18" s="192" t="str">
        <f>'Transport GHG Inventory'!AA21</f>
        <v>Furnace Oil (000 Tonnes)</v>
      </c>
      <c r="L18" s="170">
        <f>'Transport GHG Inventory'!AB21</f>
        <v>0</v>
      </c>
      <c r="M18" s="170">
        <f>'Transport GHG Inventory'!AC21</f>
        <v>0</v>
      </c>
      <c r="N18" s="170">
        <f>'Transport GHG Inventory'!AD21</f>
        <v>4.7625149999999997E-4</v>
      </c>
      <c r="O18" s="170">
        <f>'Transport GHG Inventory'!AE21</f>
        <v>3.7617839999999999E-4</v>
      </c>
      <c r="P18" s="170">
        <f>'Transport GHG Inventory'!AF21</f>
        <v>4.6901729999999995E-4</v>
      </c>
      <c r="Q18" s="170">
        <f>'Transport GHG Inventory'!AG21</f>
        <v>4.0752659999999995E-4</v>
      </c>
      <c r="R18" s="171">
        <f>'Transport GHG Inventory'!AH21</f>
        <v>3.1348199999999996E-4</v>
      </c>
      <c r="S18" s="82"/>
      <c r="T18" s="192" t="str">
        <f>'Transport GHG Inventory'!AM21</f>
        <v>Furnace Oil (000 Tonnes)</v>
      </c>
      <c r="U18" s="170">
        <f>'Transport GHG Inventory'!AN21</f>
        <v>0</v>
      </c>
      <c r="V18" s="170">
        <f>'Transport GHG Inventory'!AO21</f>
        <v>0</v>
      </c>
      <c r="W18" s="170">
        <f>'Transport GHG Inventory'!AP21</f>
        <v>9.5250299999999992E-5</v>
      </c>
      <c r="X18" s="170">
        <f>'Transport GHG Inventory'!AQ21</f>
        <v>7.5235679999999987E-5</v>
      </c>
      <c r="Y18" s="170">
        <f>'Transport GHG Inventory'!AR21</f>
        <v>9.3803460000000001E-5</v>
      </c>
      <c r="Z18" s="170">
        <f>'Transport GHG Inventory'!AS21</f>
        <v>8.1505319999999995E-5</v>
      </c>
      <c r="AA18" s="171">
        <f>'Transport GHG Inventory'!AT21</f>
        <v>6.2696399999999998E-5</v>
      </c>
      <c r="AB18" s="82"/>
      <c r="AC18" s="192" t="str">
        <f>'Transport GHG Inventory'!AW21</f>
        <v>Furnace Oil (000 Tonnes)</v>
      </c>
      <c r="AD18" s="170">
        <f>'Transport GHG Inventory'!AX21</f>
        <v>0</v>
      </c>
      <c r="AE18" s="170">
        <f>'Transport GHG Inventory'!AY21</f>
        <v>0</v>
      </c>
      <c r="AF18" s="170">
        <f>'Transport GHG Inventory'!AZ21</f>
        <v>12.326817574499998</v>
      </c>
      <c r="AG18" s="170">
        <f>'Transport GHG Inventory'!BA21</f>
        <v>9.7366255271999993</v>
      </c>
      <c r="AH18" s="170">
        <f>'Transport GHG Inventory'!BB21</f>
        <v>12.139574775900002</v>
      </c>
      <c r="AI18" s="170">
        <f>'Transport GHG Inventory'!BC21</f>
        <v>10.548010987800001</v>
      </c>
      <c r="AJ18" s="171">
        <f>'Transport GHG Inventory'!BD21</f>
        <v>8.1138546060000003</v>
      </c>
      <c r="AL18" s="192" t="s">
        <v>41</v>
      </c>
      <c r="AM18" s="170">
        <f>'Transport GHG Inventory'!C21*'Transport GHG Inventory'!$C$54*'Emission Factors'!$C$58</f>
        <v>0</v>
      </c>
      <c r="AN18" s="170">
        <f>'Transport GHG Inventory'!D21*'Transport GHG Inventory'!$C$54*'Emission Factors'!$C$58</f>
        <v>0</v>
      </c>
      <c r="AO18" s="170">
        <f>'Transport GHG Inventory'!E21*'Transport GHG Inventory'!$C$54*'Emission Factors'!$C$58</f>
        <v>3.7916905571698498</v>
      </c>
      <c r="AP18" s="170">
        <f>'Transport GHG Inventory'!F21*'Transport GHG Inventory'!$C$54*'Emission Factors'!$C$58</f>
        <v>2.9949555793341598</v>
      </c>
      <c r="AQ18" s="170">
        <f>'Transport GHG Inventory'!G21*'Transport GHG Inventory'!$C$54*'Emission Factors'!$C$58</f>
        <v>3.7340952575672701</v>
      </c>
      <c r="AR18" s="170">
        <f>'Transport GHG Inventory'!H21*'Transport GHG Inventory'!$C$54*'Emission Factors'!$C$58</f>
        <v>3.2445352109453398</v>
      </c>
      <c r="AS18" s="171">
        <f>'Transport GHG Inventory'!I21*'Transport GHG Inventory'!$C$54*'Emission Factors'!$C$58</f>
        <v>2.4957963161118002</v>
      </c>
    </row>
    <row r="19" spans="2:45" x14ac:dyDescent="0.25">
      <c r="B19" s="168" t="s">
        <v>75</v>
      </c>
      <c r="C19" s="187">
        <f>'Transport GHG Inventory'!N22</f>
        <v>5.5303598999999997</v>
      </c>
      <c r="D19" s="187">
        <f>'Transport GHG Inventory'!O22</f>
        <v>5.5303598999999997</v>
      </c>
      <c r="E19" s="187">
        <f>'Transport GHG Inventory'!P22</f>
        <v>3.6869065999999999</v>
      </c>
      <c r="F19" s="187">
        <f>'Transport GHG Inventory'!Q22</f>
        <v>3.6869065999999999</v>
      </c>
      <c r="G19" s="187">
        <f>'Transport GHG Inventory'!R22</f>
        <v>1.8434533</v>
      </c>
      <c r="H19" s="187">
        <f>'Transport GHG Inventory'!S22</f>
        <v>1.8434533</v>
      </c>
      <c r="I19" s="188">
        <f>'Transport GHG Inventory'!T22</f>
        <v>1.8434533</v>
      </c>
      <c r="J19" s="82"/>
      <c r="K19" s="192" t="str">
        <f>'Transport GHG Inventory'!AA22</f>
        <v>Coal for traction (Million Tonnes)</v>
      </c>
      <c r="L19" s="170">
        <f>'Transport GHG Inventory'!AB22</f>
        <v>1.1778E-4</v>
      </c>
      <c r="M19" s="170">
        <f>'Transport GHG Inventory'!AC22</f>
        <v>1.1778E-4</v>
      </c>
      <c r="N19" s="170">
        <f>'Transport GHG Inventory'!AD22</f>
        <v>7.852E-5</v>
      </c>
      <c r="O19" s="170">
        <f>'Transport GHG Inventory'!AE22</f>
        <v>7.852E-5</v>
      </c>
      <c r="P19" s="170">
        <f>'Transport GHG Inventory'!AF22</f>
        <v>3.926E-5</v>
      </c>
      <c r="Q19" s="170">
        <f>'Transport GHG Inventory'!AG22</f>
        <v>3.926E-5</v>
      </c>
      <c r="R19" s="171">
        <f>'Transport GHG Inventory'!AH22</f>
        <v>3.926E-5</v>
      </c>
      <c r="S19" s="82"/>
      <c r="T19" s="192" t="str">
        <f>'Transport GHG Inventory'!AM22</f>
        <v>Coal for traction (Million Tonnes)</v>
      </c>
      <c r="U19" s="170">
        <f>'Transport GHG Inventory'!AN22</f>
        <v>8.8335000000000014E-5</v>
      </c>
      <c r="V19" s="170">
        <f>'Transport GHG Inventory'!AO22</f>
        <v>8.8335000000000014E-5</v>
      </c>
      <c r="W19" s="170">
        <f>'Transport GHG Inventory'!AP22</f>
        <v>5.889E-5</v>
      </c>
      <c r="X19" s="170">
        <f>'Transport GHG Inventory'!AQ22</f>
        <v>5.889E-5</v>
      </c>
      <c r="Y19" s="170">
        <f>'Transport GHG Inventory'!AR22</f>
        <v>2.9445E-5</v>
      </c>
      <c r="Z19" s="170">
        <f>'Transport GHG Inventory'!AS22</f>
        <v>2.9445E-5</v>
      </c>
      <c r="AA19" s="171">
        <f>'Transport GHG Inventory'!AT22</f>
        <v>2.9445E-5</v>
      </c>
      <c r="AB19" s="82"/>
      <c r="AC19" s="192" t="str">
        <f>'Transport GHG Inventory'!AW22</f>
        <v>Coal for traction (Million Tonnes)</v>
      </c>
      <c r="AD19" s="170">
        <f>'Transport GHG Inventory'!AX22</f>
        <v>5.560217129999999</v>
      </c>
      <c r="AE19" s="170">
        <f>'Transport GHG Inventory'!AY22</f>
        <v>5.560217129999999</v>
      </c>
      <c r="AF19" s="170">
        <f>'Transport GHG Inventory'!AZ22</f>
        <v>3.7068114200000002</v>
      </c>
      <c r="AG19" s="170">
        <f>'Transport GHG Inventory'!BA22</f>
        <v>3.7068114200000002</v>
      </c>
      <c r="AH19" s="170">
        <f>'Transport GHG Inventory'!BB22</f>
        <v>1.8534057100000001</v>
      </c>
      <c r="AI19" s="170">
        <f>'Transport GHG Inventory'!BC22</f>
        <v>1.8534057100000001</v>
      </c>
      <c r="AJ19" s="171">
        <f>'Transport GHG Inventory'!BD22</f>
        <v>1.8534057100000001</v>
      </c>
      <c r="AL19" s="192" t="s">
        <v>75</v>
      </c>
      <c r="AM19" s="170">
        <f>'Transport GHG Inventory'!N22*1000*'Transport GHG Inventory'!$C$55*'Emission Factors'!$C$58</f>
        <v>2592.9341025678718</v>
      </c>
      <c r="AN19" s="170">
        <f>'Transport GHG Inventory'!O22*1000*'Transport GHG Inventory'!$C$55*'Emission Factors'!$C$58</f>
        <v>2592.9341025678718</v>
      </c>
      <c r="AO19" s="170">
        <f>'Transport GHG Inventory'!P22*1000*'Transport GHG Inventory'!$C$55*'Emission Factors'!$C$58</f>
        <v>1728.6227350452482</v>
      </c>
      <c r="AP19" s="170">
        <f>'Transport GHG Inventory'!Q22*1000*'Transport GHG Inventory'!$C$55*'Emission Factors'!$C$58</f>
        <v>1728.6227350452482</v>
      </c>
      <c r="AQ19" s="170">
        <f>'Transport GHG Inventory'!R22*1000*'Transport GHG Inventory'!$C$55*'Emission Factors'!$C$58</f>
        <v>864.3113675226241</v>
      </c>
      <c r="AR19" s="170">
        <f>'Transport GHG Inventory'!S22*1000*'Transport GHG Inventory'!$C$55*'Emission Factors'!$C$58</f>
        <v>864.3113675226241</v>
      </c>
      <c r="AS19" s="171">
        <f>'Transport GHG Inventory'!T22*1000*'Transport GHG Inventory'!$C$55*'Emission Factors'!$C$58</f>
        <v>864.3113675226241</v>
      </c>
    </row>
    <row r="20" spans="2:45" x14ac:dyDescent="0.25">
      <c r="B20" s="177" t="s">
        <v>4</v>
      </c>
      <c r="C20" s="185">
        <f>SUM(C15:C19)</f>
        <v>5853.1730215926136</v>
      </c>
      <c r="D20" s="185">
        <f t="shared" ref="D20:I20" si="2">SUM(D15:D19)</f>
        <v>6502.3658050999984</v>
      </c>
      <c r="E20" s="185">
        <f t="shared" si="2"/>
        <v>6927.1863429999994</v>
      </c>
      <c r="F20" s="185">
        <f t="shared" si="2"/>
        <v>7224.5369261199985</v>
      </c>
      <c r="G20" s="185">
        <f t="shared" si="2"/>
        <v>7574.62340554</v>
      </c>
      <c r="H20" s="185">
        <f t="shared" si="2"/>
        <v>7757.8604957800007</v>
      </c>
      <c r="I20" s="186">
        <f t="shared" si="2"/>
        <v>8102.9441232999998</v>
      </c>
      <c r="J20" s="82"/>
      <c r="K20" s="194" t="str">
        <f>'Transport GHG Inventory'!AA23</f>
        <v xml:space="preserve">Total </v>
      </c>
      <c r="L20" s="183">
        <f>'Transport GHG Inventory'!AB23</f>
        <v>0.33057375427455898</v>
      </c>
      <c r="M20" s="183">
        <f>'Transport GHG Inventory'!AC23</f>
        <v>0.367166296</v>
      </c>
      <c r="N20" s="183">
        <f>'Transport GHG Inventory'!AD23</f>
        <v>0.39034046200000011</v>
      </c>
      <c r="O20" s="183">
        <f>'Transport GHG Inventory'!AE23</f>
        <v>0.40686722040000006</v>
      </c>
      <c r="P20" s="183">
        <f>'Transport GHG Inventory'!AF23</f>
        <v>0.42680073130000007</v>
      </c>
      <c r="Q20" s="183">
        <f>'Transport GHG Inventory'!AG23</f>
        <v>0.43676851760000002</v>
      </c>
      <c r="R20" s="184">
        <f>'Transport GHG Inventory'!AH23</f>
        <v>0.45598858949999999</v>
      </c>
      <c r="S20" s="82"/>
      <c r="T20" s="192" t="str">
        <f>'Transport GHG Inventory'!AM23</f>
        <v xml:space="preserve">Total </v>
      </c>
      <c r="U20" s="170">
        <f>'Transport GHG Inventory'!AN23</f>
        <v>2.2530612240771775</v>
      </c>
      <c r="V20" s="170">
        <f>'Transport GHG Inventory'!AO23</f>
        <v>2.5037355054000003</v>
      </c>
      <c r="W20" s="170">
        <f>'Transport GHG Inventory'!AP23</f>
        <v>2.6641724336999997</v>
      </c>
      <c r="X20" s="170">
        <f>'Transport GHG Inventory'!AQ23</f>
        <v>2.7803715032799996</v>
      </c>
      <c r="Y20" s="170">
        <f>'Transport GHG Inventory'!AR23</f>
        <v>2.9158691662600003</v>
      </c>
      <c r="Z20" s="170">
        <f>'Transport GHG Inventory'!AS23</f>
        <v>2.9876442587200001</v>
      </c>
      <c r="AA20" s="171">
        <f>'Transport GHG Inventory'!AT23</f>
        <v>3.1217363782000005</v>
      </c>
      <c r="AB20" s="82"/>
      <c r="AC20" s="192" t="str">
        <f>'Transport GHG Inventory'!AW23</f>
        <v xml:space="preserve">Total </v>
      </c>
      <c r="AD20" s="170">
        <f>'Transport GHG Inventory'!AX23</f>
        <v>6558.5640498963048</v>
      </c>
      <c r="AE20" s="170">
        <f>'Transport GHG Inventory'!AY23</f>
        <v>7286.2343039899988</v>
      </c>
      <c r="AF20" s="170">
        <f>'Transport GHG Inventory'!AZ23</f>
        <v>7761.2769471489983</v>
      </c>
      <c r="AG20" s="170">
        <f>'Transport GHG Inventory'!BA23</f>
        <v>8094.9963037651978</v>
      </c>
      <c r="AH20" s="170">
        <f>'Transport GHG Inventory'!BB23</f>
        <v>8487.5056624378994</v>
      </c>
      <c r="AI20" s="170">
        <f>'Transport GHG Inventory'!BC23</f>
        <v>8693.2023548528014</v>
      </c>
      <c r="AJ20" s="171">
        <f>'Transport GHG Inventory'!BD23</f>
        <v>9080.2581609214994</v>
      </c>
      <c r="AL20" s="194" t="s">
        <v>4</v>
      </c>
      <c r="AM20" s="183">
        <f>SUM(AM15:AM19)</f>
        <v>4477.9403577879912</v>
      </c>
      <c r="AN20" s="183">
        <f t="shared" ref="AN20:AR20" si="3">SUM(AN15:AN19)</f>
        <v>4687.2111670741942</v>
      </c>
      <c r="AO20" s="183">
        <f t="shared" si="3"/>
        <v>3960.2320224656678</v>
      </c>
      <c r="AP20" s="183">
        <f t="shared" si="3"/>
        <v>4056.1072327995839</v>
      </c>
      <c r="AQ20" s="183">
        <f t="shared" si="3"/>
        <v>3305.2287330377053</v>
      </c>
      <c r="AR20" s="183">
        <f t="shared" si="3"/>
        <v>3364.2980963666687</v>
      </c>
      <c r="AS20" s="184">
        <f>SUM(AS15:AS19)</f>
        <v>3475.5518894130187</v>
      </c>
    </row>
    <row r="21" spans="2:45" x14ac:dyDescent="0.25">
      <c r="B21" s="168"/>
      <c r="C21" s="187"/>
      <c r="D21" s="187"/>
      <c r="E21" s="187"/>
      <c r="F21" s="187"/>
      <c r="G21" s="187"/>
      <c r="H21" s="187"/>
      <c r="I21" s="188"/>
      <c r="J21" s="82"/>
      <c r="K21" s="194"/>
      <c r="L21" s="183"/>
      <c r="M21" s="183"/>
      <c r="N21" s="183"/>
      <c r="O21" s="183"/>
      <c r="P21" s="183"/>
      <c r="Q21" s="183"/>
      <c r="R21" s="184"/>
      <c r="S21" s="82"/>
      <c r="T21" s="192"/>
      <c r="U21" s="170"/>
      <c r="V21" s="170"/>
      <c r="W21" s="170"/>
      <c r="X21" s="170"/>
      <c r="Y21" s="170"/>
      <c r="Z21" s="170"/>
      <c r="AA21" s="171"/>
      <c r="AB21" s="82"/>
      <c r="AC21" s="192"/>
      <c r="AD21" s="170"/>
      <c r="AE21" s="170"/>
      <c r="AF21" s="170"/>
      <c r="AG21" s="170"/>
      <c r="AH21" s="170"/>
      <c r="AI21" s="170"/>
      <c r="AJ21" s="171"/>
      <c r="AL21" s="192"/>
      <c r="AM21" s="55"/>
      <c r="AN21" s="55"/>
      <c r="AO21" s="55"/>
      <c r="AP21" s="55"/>
      <c r="AQ21" s="55"/>
      <c r="AR21" s="55"/>
      <c r="AS21" s="169"/>
    </row>
    <row r="22" spans="2:45" x14ac:dyDescent="0.25">
      <c r="B22" s="177" t="s">
        <v>38</v>
      </c>
      <c r="C22" s="185" t="str">
        <f>'Transport GHG Inventory'!N28</f>
        <v>2006-07</v>
      </c>
      <c r="D22" s="185" t="str">
        <f>'Transport GHG Inventory'!O28</f>
        <v>2007-08</v>
      </c>
      <c r="E22" s="185" t="str">
        <f>'Transport GHG Inventory'!P28</f>
        <v>2008-09</v>
      </c>
      <c r="F22" s="185" t="str">
        <f>'Transport GHG Inventory'!Q28</f>
        <v>2009-10</v>
      </c>
      <c r="G22" s="185" t="str">
        <f>'Transport GHG Inventory'!R28</f>
        <v>2010-11</v>
      </c>
      <c r="H22" s="185" t="str">
        <f>'Transport GHG Inventory'!S28</f>
        <v>2011-12</v>
      </c>
      <c r="I22" s="186" t="str">
        <f>'Transport GHG Inventory'!T28</f>
        <v>2012-13</v>
      </c>
      <c r="J22" s="82"/>
      <c r="K22" s="194" t="str">
        <f>'Transport GHG Inventory'!AA28</f>
        <v xml:space="preserve">Aviation </v>
      </c>
      <c r="L22" s="183" t="str">
        <f>'Transport GHG Inventory'!AB28</f>
        <v>2006-07</v>
      </c>
      <c r="M22" s="183" t="str">
        <f>'Transport GHG Inventory'!AC28</f>
        <v>2007-08</v>
      </c>
      <c r="N22" s="183" t="str">
        <f>'Transport GHG Inventory'!AD28</f>
        <v>2008-09</v>
      </c>
      <c r="O22" s="183" t="str">
        <f>'Transport GHG Inventory'!AE28</f>
        <v>2009-10</v>
      </c>
      <c r="P22" s="183" t="str">
        <f>'Transport GHG Inventory'!AF28</f>
        <v>2010-11</v>
      </c>
      <c r="Q22" s="183" t="str">
        <f>'Transport GHG Inventory'!AG28</f>
        <v>2011-12</v>
      </c>
      <c r="R22" s="184" t="str">
        <f>'Transport GHG Inventory'!AH28</f>
        <v>2012-13</v>
      </c>
      <c r="S22" s="82"/>
      <c r="T22" s="192" t="str">
        <f>'Transport GHG Inventory'!AM28</f>
        <v xml:space="preserve">Aviation </v>
      </c>
      <c r="U22" s="170" t="str">
        <f>'Transport GHG Inventory'!AN28</f>
        <v>2006-07</v>
      </c>
      <c r="V22" s="170" t="str">
        <f>'Transport GHG Inventory'!AO28</f>
        <v>2007-08</v>
      </c>
      <c r="W22" s="170" t="str">
        <f>'Transport GHG Inventory'!AP28</f>
        <v>2008-09</v>
      </c>
      <c r="X22" s="170" t="str">
        <f>'Transport GHG Inventory'!AQ28</f>
        <v>2009-10</v>
      </c>
      <c r="Y22" s="170" t="str">
        <f>'Transport GHG Inventory'!AR28</f>
        <v>2010-11</v>
      </c>
      <c r="Z22" s="170" t="str">
        <f>'Transport GHG Inventory'!AS28</f>
        <v>2011-12</v>
      </c>
      <c r="AA22" s="171" t="str">
        <f>'Transport GHG Inventory'!AT28</f>
        <v>2012-13</v>
      </c>
      <c r="AB22" s="82"/>
      <c r="AC22" s="192" t="str">
        <f>'Transport GHG Inventory'!AW28</f>
        <v xml:space="preserve">Aviation </v>
      </c>
      <c r="AD22" s="55" t="s">
        <v>52</v>
      </c>
      <c r="AE22" s="55" t="s">
        <v>26</v>
      </c>
      <c r="AF22" s="55" t="s">
        <v>27</v>
      </c>
      <c r="AG22" s="55" t="s">
        <v>28</v>
      </c>
      <c r="AH22" s="55" t="s">
        <v>29</v>
      </c>
      <c r="AI22" s="55" t="s">
        <v>30</v>
      </c>
      <c r="AJ22" s="169" t="s">
        <v>31</v>
      </c>
      <c r="AL22" s="194" t="s">
        <v>38</v>
      </c>
      <c r="AM22" s="178" t="s">
        <v>52</v>
      </c>
      <c r="AN22" s="178" t="s">
        <v>26</v>
      </c>
      <c r="AO22" s="178" t="s">
        <v>27</v>
      </c>
      <c r="AP22" s="178" t="s">
        <v>28</v>
      </c>
      <c r="AQ22" s="178" t="s">
        <v>29</v>
      </c>
      <c r="AR22" s="178" t="s">
        <v>30</v>
      </c>
      <c r="AS22" s="179" t="s">
        <v>31</v>
      </c>
    </row>
    <row r="23" spans="2:45" x14ac:dyDescent="0.25">
      <c r="B23" s="168" t="s">
        <v>49</v>
      </c>
      <c r="C23" s="187">
        <f>'Transport GHG Inventory'!N29</f>
        <v>12295.521000000002</v>
      </c>
      <c r="D23" s="187">
        <f>'Transport GHG Inventory'!O29</f>
        <v>14023.284029999999</v>
      </c>
      <c r="E23" s="187">
        <f>'Transport GHG Inventory'!P29</f>
        <v>13860.63</v>
      </c>
      <c r="F23" s="187">
        <f>'Transport GHG Inventory'!Q29</f>
        <v>14169.33</v>
      </c>
      <c r="G23" s="187">
        <f>'Transport GHG Inventory'!R29</f>
        <v>14879.34</v>
      </c>
      <c r="H23" s="187">
        <f>'Transport GHG Inventory'!S29</f>
        <v>16422.84</v>
      </c>
      <c r="I23" s="188">
        <f>'Transport GHG Inventory'!T29</f>
        <v>15867.18</v>
      </c>
      <c r="J23" s="82"/>
      <c r="K23" s="192" t="str">
        <f>'Transport GHG Inventory'!AA29</f>
        <v>ATF (000 Tonnes)</v>
      </c>
      <c r="L23" s="170">
        <f>'Transport GHG Inventory'!AB29</f>
        <v>8.7825150000000005E-2</v>
      </c>
      <c r="M23" s="170">
        <f>'Transport GHG Inventory'!AC29</f>
        <v>0.10016631449999999</v>
      </c>
      <c r="N23" s="170">
        <f>'Transport GHG Inventory'!AD29</f>
        <v>9.9004499999999995E-2</v>
      </c>
      <c r="O23" s="170">
        <f>'Transport GHG Inventory'!AE29</f>
        <v>0.10120949999999999</v>
      </c>
      <c r="P23" s="170">
        <f>'Transport GHG Inventory'!AF29</f>
        <v>0.106281</v>
      </c>
      <c r="Q23" s="170">
        <f>'Transport GHG Inventory'!AG29</f>
        <v>0.11730599999999999</v>
      </c>
      <c r="R23" s="171">
        <f>'Transport GHG Inventory'!AH29</f>
        <v>0.11333699999999999</v>
      </c>
      <c r="S23" s="82"/>
      <c r="T23" s="192" t="str">
        <f>'Transport GHG Inventory'!AM29</f>
        <v>ATF (000 Tonnes)</v>
      </c>
      <c r="U23" s="170">
        <f>'Transport GHG Inventory'!AN29</f>
        <v>0.35130060000000002</v>
      </c>
      <c r="V23" s="170">
        <f>'Transport GHG Inventory'!AO29</f>
        <v>0.40066525799999997</v>
      </c>
      <c r="W23" s="170">
        <f>'Transport GHG Inventory'!AP29</f>
        <v>0.39601799999999998</v>
      </c>
      <c r="X23" s="170">
        <f>'Transport GHG Inventory'!AQ29</f>
        <v>0.40483799999999998</v>
      </c>
      <c r="Y23" s="170">
        <f>'Transport GHG Inventory'!AR29</f>
        <v>0.425124</v>
      </c>
      <c r="Z23" s="170">
        <f>'Transport GHG Inventory'!AS29</f>
        <v>0.46922399999999997</v>
      </c>
      <c r="AA23" s="171">
        <f>'Transport GHG Inventory'!AT29</f>
        <v>0.45334799999999997</v>
      </c>
      <c r="AB23" s="82"/>
      <c r="AC23" s="192" t="str">
        <f>'Transport GHG Inventory'!AW29</f>
        <v>ATF (000 Tonnes)</v>
      </c>
      <c r="AD23" s="170">
        <f>'Transport GHG Inventory'!AX29</f>
        <v>12406.268514150002</v>
      </c>
      <c r="AE23" s="170">
        <f>'Transport GHG Inventory'!AY29</f>
        <v>14149.593752584498</v>
      </c>
      <c r="AF23" s="170">
        <f>'Transport GHG Inventory'!AZ29</f>
        <v>13985.474674499999</v>
      </c>
      <c r="AG23" s="170">
        <f>'Transport GHG Inventory'!BA29</f>
        <v>14296.955179500001</v>
      </c>
      <c r="AH23" s="170">
        <f>'Transport GHG Inventory'!BB29</f>
        <v>15013.360341</v>
      </c>
      <c r="AI23" s="170">
        <f>'Transport GHG Inventory'!BC29</f>
        <v>16570.762865999997</v>
      </c>
      <c r="AJ23" s="171">
        <f>'Transport GHG Inventory'!BD29</f>
        <v>16010.097957</v>
      </c>
      <c r="AL23" s="192" t="s">
        <v>49</v>
      </c>
      <c r="AM23" s="170">
        <f>'Transport GHG Inventory'!C29*'Transport GHG Inventory'!$C$53*'Emission Factors'!$C$58</f>
        <v>4195.3353461819106</v>
      </c>
      <c r="AN23" s="170">
        <f>'Transport GHG Inventory'!D29*'Transport GHG Inventory'!$C$53*'Emission Factors'!$C$58</f>
        <v>4784.8626471873213</v>
      </c>
      <c r="AO23" s="170">
        <f>'Transport GHG Inventory'!E29*'Transport GHG Inventory'!$C$53*'Emission Factors'!$C$58</f>
        <v>4729.3637219072998</v>
      </c>
      <c r="AP23" s="170">
        <f>'Transport GHG Inventory'!F29*'Transport GHG Inventory'!$C$53*'Emission Factors'!$C$58</f>
        <v>4834.6947624842996</v>
      </c>
      <c r="AQ23" s="170">
        <f>'Transport GHG Inventory'!G29*'Transport GHG Inventory'!$C$53*'Emission Factors'!$C$58</f>
        <v>5076.9561558114001</v>
      </c>
      <c r="AR23" s="170">
        <f>'Transport GHG Inventory'!H29*'Transport GHG Inventory'!$C$53*'Emission Factors'!$C$58</f>
        <v>5603.6113586964002</v>
      </c>
      <c r="AS23" s="171">
        <f>'Transport GHG Inventory'!I29*'Transport GHG Inventory'!$C$53*'Emission Factors'!$C$58</f>
        <v>5414.0154856578001</v>
      </c>
    </row>
    <row r="24" spans="2:45" x14ac:dyDescent="0.25">
      <c r="B24" s="168" t="s">
        <v>37</v>
      </c>
      <c r="C24" s="187">
        <f>'Transport GHG Inventory'!N30</f>
        <v>8.1716974486563601</v>
      </c>
      <c r="D24" s="187">
        <f>'Transport GHG Inventory'!O30</f>
        <v>9.0809549999999994</v>
      </c>
      <c r="E24" s="187">
        <f>'Transport GHG Inventory'!P30</f>
        <v>5.5760249999999996</v>
      </c>
      <c r="F24" s="187">
        <f>'Transport GHG Inventory'!Q30</f>
        <v>5.4485729999999997</v>
      </c>
      <c r="G24" s="187">
        <f>'Transport GHG Inventory'!R30</f>
        <v>3.2181629999999997</v>
      </c>
      <c r="H24" s="187">
        <f>'Transport GHG Inventory'!S30</f>
        <v>4.3652309999999996</v>
      </c>
      <c r="I24" s="188">
        <f>'Transport GHG Inventory'!T30</f>
        <v>4.3333680000000001</v>
      </c>
      <c r="J24" s="82"/>
      <c r="K24" s="192" t="str">
        <f>'Transport GHG Inventory'!AA30</f>
        <v>HSDO (000 Tonnes)</v>
      </c>
      <c r="L24" s="170">
        <f>'Transport GHG Inventory'!AB30</f>
        <v>4.3008933940296632E-4</v>
      </c>
      <c r="M24" s="170">
        <f>'Transport GHG Inventory'!AC30</f>
        <v>4.7794500000000002E-4</v>
      </c>
      <c r="N24" s="170">
        <f>'Transport GHG Inventory'!AD30</f>
        <v>2.9347499999999996E-4</v>
      </c>
      <c r="O24" s="170">
        <f>'Transport GHG Inventory'!AE30</f>
        <v>2.86767E-4</v>
      </c>
      <c r="P24" s="170">
        <f>'Transport GHG Inventory'!AF30</f>
        <v>1.6937699999999999E-4</v>
      </c>
      <c r="Q24" s="170">
        <f>'Transport GHG Inventory'!AG30</f>
        <v>2.2974899999999999E-4</v>
      </c>
      <c r="R24" s="171">
        <f>'Transport GHG Inventory'!AH30</f>
        <v>2.2807200000000001E-4</v>
      </c>
      <c r="S24" s="82"/>
      <c r="T24" s="192" t="str">
        <f>'Transport GHG Inventory'!AM30</f>
        <v>HSDO (000 Tonnes)</v>
      </c>
      <c r="U24" s="170">
        <f>'Transport GHG Inventory'!AN30</f>
        <v>4.3008933940296632E-4</v>
      </c>
      <c r="V24" s="170">
        <f>'Transport GHG Inventory'!AO30</f>
        <v>4.7794500000000002E-4</v>
      </c>
      <c r="W24" s="170">
        <f>'Transport GHG Inventory'!AP30</f>
        <v>2.9347499999999996E-4</v>
      </c>
      <c r="X24" s="170">
        <f>'Transport GHG Inventory'!AQ30</f>
        <v>2.86767E-4</v>
      </c>
      <c r="Y24" s="170">
        <f>'Transport GHG Inventory'!AR30</f>
        <v>1.6937699999999999E-4</v>
      </c>
      <c r="Z24" s="170">
        <f>'Transport GHG Inventory'!AS30</f>
        <v>2.2974899999999999E-4</v>
      </c>
      <c r="AA24" s="171">
        <f>'Transport GHG Inventory'!AT30</f>
        <v>2.2807200000000001E-4</v>
      </c>
      <c r="AB24" s="82"/>
      <c r="AC24" s="192" t="str">
        <f>'Transport GHG Inventory'!AW30</f>
        <v>HSDO (000 Tonnes)</v>
      </c>
      <c r="AD24" s="170">
        <f>'Transport GHG Inventory'!AX30</f>
        <v>8.3140570199987422</v>
      </c>
      <c r="AE24" s="170">
        <f>'Transport GHG Inventory'!AY30</f>
        <v>9.2391547949999993</v>
      </c>
      <c r="AF24" s="170">
        <f>'Transport GHG Inventory'!AZ30</f>
        <v>5.6731652249999991</v>
      </c>
      <c r="AG24" s="170">
        <f>'Transport GHG Inventory'!BA30</f>
        <v>5.5434928769999994</v>
      </c>
      <c r="AH24" s="170">
        <f>'Transport GHG Inventory'!BB30</f>
        <v>3.2742267869999999</v>
      </c>
      <c r="AI24" s="170">
        <f>'Transport GHG Inventory'!BC30</f>
        <v>4.441277919</v>
      </c>
      <c r="AJ24" s="171">
        <f>'Transport GHG Inventory'!BD30</f>
        <v>4.4088598320000001</v>
      </c>
      <c r="AL24" s="192" t="s">
        <v>37</v>
      </c>
      <c r="AM24" s="170">
        <f>'Transport GHG Inventory'!C30*'Transport GHG Inventory'!$C$48*'Emission Factors'!$C$58</f>
        <v>2.633976257944588</v>
      </c>
      <c r="AN24" s="170">
        <f>'Transport GHG Inventory'!D30*'Transport GHG Inventory'!$C$48*'Emission Factors'!$C$58</f>
        <v>2.9270564677349999</v>
      </c>
      <c r="AO24" s="170">
        <f>'Transport GHG Inventory'!E30*'Transport GHG Inventory'!$C$48*'Emission Factors'!$C$58</f>
        <v>1.7973153749249999</v>
      </c>
      <c r="AP24" s="170">
        <f>'Transport GHG Inventory'!F30*'Transport GHG Inventory'!$C$48*'Emission Factors'!$C$58</f>
        <v>1.7562338806410001</v>
      </c>
      <c r="AQ24" s="170">
        <f>'Transport GHG Inventory'!G30*'Transport GHG Inventory'!$C$48*'Emission Factors'!$C$58</f>
        <v>1.0373077306709999</v>
      </c>
      <c r="AR24" s="170">
        <f>'Transport GHG Inventory'!H30*'Transport GHG Inventory'!$C$48*'Emission Factors'!$C$58</f>
        <v>1.4070411792270001</v>
      </c>
      <c r="AS24" s="171">
        <f>'Transport GHG Inventory'!I30*'Transport GHG Inventory'!$C$48*'Emission Factors'!$C$58</f>
        <v>1.3967708056560002</v>
      </c>
    </row>
    <row r="25" spans="2:45" x14ac:dyDescent="0.25">
      <c r="B25" s="177" t="s">
        <v>4</v>
      </c>
      <c r="C25" s="185">
        <f>SUM(C23:C24)</f>
        <v>12303.69269744866</v>
      </c>
      <c r="D25" s="185">
        <f t="shared" ref="D25:I25" si="4">SUM(D23:D24)</f>
        <v>14032.364984999998</v>
      </c>
      <c r="E25" s="185">
        <f t="shared" si="4"/>
        <v>13866.206024999999</v>
      </c>
      <c r="F25" s="185">
        <f t="shared" si="4"/>
        <v>14174.778573</v>
      </c>
      <c r="G25" s="185">
        <f t="shared" si="4"/>
        <v>14882.558163</v>
      </c>
      <c r="H25" s="185">
        <f t="shared" si="4"/>
        <v>16427.205231</v>
      </c>
      <c r="I25" s="186">
        <f t="shared" si="4"/>
        <v>15871.513368</v>
      </c>
      <c r="J25" s="82"/>
      <c r="K25" s="194" t="str">
        <f>'Transport GHG Inventory'!AA31</f>
        <v xml:space="preserve">Total </v>
      </c>
      <c r="L25" s="183">
        <f>'Transport GHG Inventory'!AB31</f>
        <v>8.8255239339402977E-2</v>
      </c>
      <c r="M25" s="183">
        <f>'Transport GHG Inventory'!AC31</f>
        <v>0.10064425949999999</v>
      </c>
      <c r="N25" s="183">
        <f>'Transport GHG Inventory'!AD31</f>
        <v>9.9297974999999997E-2</v>
      </c>
      <c r="O25" s="183">
        <f>'Transport GHG Inventory'!AE31</f>
        <v>0.10149626699999999</v>
      </c>
      <c r="P25" s="183">
        <f>'Transport GHG Inventory'!AF31</f>
        <v>0.106450377</v>
      </c>
      <c r="Q25" s="183">
        <f>'Transport GHG Inventory'!AG31</f>
        <v>0.11753574899999999</v>
      </c>
      <c r="R25" s="184">
        <f>'Transport GHG Inventory'!AH31</f>
        <v>0.11356507199999999</v>
      </c>
      <c r="S25" s="82"/>
      <c r="T25" s="192" t="str">
        <f>'Transport GHG Inventory'!AM31</f>
        <v xml:space="preserve">Total </v>
      </c>
      <c r="U25" s="170">
        <f>'Transport GHG Inventory'!AN31</f>
        <v>0.35173068933940299</v>
      </c>
      <c r="V25" s="170">
        <f>'Transport GHG Inventory'!AO31</f>
        <v>0.40114320299999995</v>
      </c>
      <c r="W25" s="170">
        <f>'Transport GHG Inventory'!AP31</f>
        <v>0.39631147499999997</v>
      </c>
      <c r="X25" s="170">
        <f>'Transport GHG Inventory'!AQ31</f>
        <v>0.405124767</v>
      </c>
      <c r="Y25" s="170">
        <f>'Transport GHG Inventory'!AR31</f>
        <v>0.42529337700000003</v>
      </c>
      <c r="Z25" s="170">
        <f>'Transport GHG Inventory'!AS31</f>
        <v>0.46945374899999998</v>
      </c>
      <c r="AA25" s="171">
        <f>'Transport GHG Inventory'!AT31</f>
        <v>0.453576072</v>
      </c>
      <c r="AB25" s="82"/>
      <c r="AC25" s="192" t="str">
        <f>'Transport GHG Inventory'!AW31</f>
        <v xml:space="preserve">Total </v>
      </c>
      <c r="AD25" s="170">
        <f>'Transport GHG Inventory'!AX31</f>
        <v>12414.582571170002</v>
      </c>
      <c r="AE25" s="170">
        <f>'Transport GHG Inventory'!AY31</f>
        <v>14158.832907379498</v>
      </c>
      <c r="AF25" s="170">
        <f>'Transport GHG Inventory'!AZ31</f>
        <v>13991.147839724999</v>
      </c>
      <c r="AG25" s="170">
        <f>'Transport GHG Inventory'!BA31</f>
        <v>14302.498672377</v>
      </c>
      <c r="AH25" s="170">
        <f>'Transport GHG Inventory'!BB31</f>
        <v>15016.634567786999</v>
      </c>
      <c r="AI25" s="170">
        <f>'Transport GHG Inventory'!BC31</f>
        <v>16575.204143918996</v>
      </c>
      <c r="AJ25" s="171">
        <f>'Transport GHG Inventory'!BD31</f>
        <v>16014.506816831999</v>
      </c>
      <c r="AL25" s="192" t="s">
        <v>4</v>
      </c>
      <c r="AM25" s="170">
        <f>SUM(AM23:AM24)</f>
        <v>4197.9693224398552</v>
      </c>
      <c r="AN25" s="170">
        <f t="shared" ref="AN25:AS25" si="5">SUM(AN23:AN24)</f>
        <v>4787.7897036550567</v>
      </c>
      <c r="AO25" s="170">
        <f t="shared" si="5"/>
        <v>4731.1610372822252</v>
      </c>
      <c r="AP25" s="170">
        <f t="shared" si="5"/>
        <v>4836.4509963649407</v>
      </c>
      <c r="AQ25" s="170">
        <f t="shared" si="5"/>
        <v>5077.9934635420714</v>
      </c>
      <c r="AR25" s="170">
        <f t="shared" si="5"/>
        <v>5605.0183998756274</v>
      </c>
      <c r="AS25" s="171">
        <f t="shared" si="5"/>
        <v>5415.4122564634563</v>
      </c>
    </row>
    <row r="26" spans="2:45" x14ac:dyDescent="0.25">
      <c r="B26" s="168"/>
      <c r="C26" s="187"/>
      <c r="D26" s="187"/>
      <c r="E26" s="187"/>
      <c r="F26" s="187"/>
      <c r="G26" s="187"/>
      <c r="H26" s="187"/>
      <c r="I26" s="188"/>
      <c r="J26" s="82"/>
      <c r="K26" s="192"/>
      <c r="L26" s="170"/>
      <c r="M26" s="170"/>
      <c r="N26" s="170"/>
      <c r="O26" s="170"/>
      <c r="P26" s="170"/>
      <c r="Q26" s="170"/>
      <c r="R26" s="171"/>
      <c r="S26" s="82"/>
      <c r="T26" s="192"/>
      <c r="U26" s="170"/>
      <c r="V26" s="170"/>
      <c r="W26" s="170"/>
      <c r="X26" s="170"/>
      <c r="Y26" s="170"/>
      <c r="Z26" s="170"/>
      <c r="AA26" s="171"/>
      <c r="AB26" s="82"/>
      <c r="AC26" s="192"/>
      <c r="AD26" s="170"/>
      <c r="AE26" s="170"/>
      <c r="AF26" s="170"/>
      <c r="AG26" s="170"/>
      <c r="AH26" s="170"/>
      <c r="AI26" s="170"/>
      <c r="AJ26" s="171"/>
      <c r="AL26" s="192"/>
      <c r="AM26" s="55"/>
      <c r="AN26" s="55"/>
      <c r="AO26" s="55"/>
      <c r="AP26" s="55"/>
      <c r="AQ26" s="55"/>
      <c r="AR26" s="55"/>
      <c r="AS26" s="169"/>
    </row>
    <row r="27" spans="2:45" x14ac:dyDescent="0.25">
      <c r="B27" s="177" t="s">
        <v>100</v>
      </c>
      <c r="C27" s="185" t="str">
        <f>'Transport GHG Inventory'!N36</f>
        <v>2006-07</v>
      </c>
      <c r="D27" s="185" t="str">
        <f>'Transport GHG Inventory'!O36</f>
        <v>2007-08</v>
      </c>
      <c r="E27" s="185" t="str">
        <f>'Transport GHG Inventory'!P36</f>
        <v>2008-09</v>
      </c>
      <c r="F27" s="185" t="str">
        <f>'Transport GHG Inventory'!Q36</f>
        <v>2009-10</v>
      </c>
      <c r="G27" s="185" t="str">
        <f>'Transport GHG Inventory'!R36</f>
        <v>2010-11</v>
      </c>
      <c r="H27" s="185" t="str">
        <f>'Transport GHG Inventory'!S36</f>
        <v>2011-12</v>
      </c>
      <c r="I27" s="186" t="str">
        <f>'Transport GHG Inventory'!T36</f>
        <v>2012-13</v>
      </c>
      <c r="J27" s="82"/>
      <c r="K27" s="194" t="str">
        <f>'Transport GHG Inventory'!AA36</f>
        <v>Navigation</v>
      </c>
      <c r="L27" s="183" t="str">
        <f>'Transport GHG Inventory'!AB36</f>
        <v>2006-07</v>
      </c>
      <c r="M27" s="183" t="str">
        <f>'Transport GHG Inventory'!AC36</f>
        <v>2007-08</v>
      </c>
      <c r="N27" s="183" t="str">
        <f>'Transport GHG Inventory'!AD36</f>
        <v>2008-09</v>
      </c>
      <c r="O27" s="183" t="str">
        <f>'Transport GHG Inventory'!AE36</f>
        <v>2009-10</v>
      </c>
      <c r="P27" s="183" t="str">
        <f>'Transport GHG Inventory'!AF36</f>
        <v>2010-11</v>
      </c>
      <c r="Q27" s="183" t="str">
        <f>'Transport GHG Inventory'!AG36</f>
        <v>2011-12</v>
      </c>
      <c r="R27" s="184" t="str">
        <f>'Transport GHG Inventory'!AH36</f>
        <v>2012-13</v>
      </c>
      <c r="S27" s="82"/>
      <c r="T27" s="192" t="str">
        <f>'Transport GHG Inventory'!AM36</f>
        <v>Navigation</v>
      </c>
      <c r="U27" s="170" t="str">
        <f>'Transport GHG Inventory'!AN36</f>
        <v>2006-07</v>
      </c>
      <c r="V27" s="170" t="str">
        <f>'Transport GHG Inventory'!AO36</f>
        <v>2007-08</v>
      </c>
      <c r="W27" s="170" t="str">
        <f>'Transport GHG Inventory'!AP36</f>
        <v>2008-09</v>
      </c>
      <c r="X27" s="170" t="str">
        <f>'Transport GHG Inventory'!AQ36</f>
        <v>2009-10</v>
      </c>
      <c r="Y27" s="170" t="str">
        <f>'Transport GHG Inventory'!AR36</f>
        <v>2010-11</v>
      </c>
      <c r="Z27" s="170" t="str">
        <f>'Transport GHG Inventory'!AS36</f>
        <v>2011-12</v>
      </c>
      <c r="AA27" s="171" t="str">
        <f>'Transport GHG Inventory'!AT36</f>
        <v>2012-13</v>
      </c>
      <c r="AB27" s="82"/>
      <c r="AC27" s="192" t="str">
        <f>'Transport GHG Inventory'!AW36</f>
        <v>Navigation</v>
      </c>
      <c r="AD27" s="55" t="s">
        <v>52</v>
      </c>
      <c r="AE27" s="55" t="s">
        <v>26</v>
      </c>
      <c r="AF27" s="55" t="s">
        <v>27</v>
      </c>
      <c r="AG27" s="55" t="s">
        <v>28</v>
      </c>
      <c r="AH27" s="55" t="s">
        <v>29</v>
      </c>
      <c r="AI27" s="55" t="s">
        <v>30</v>
      </c>
      <c r="AJ27" s="169" t="s">
        <v>31</v>
      </c>
      <c r="AL27" s="194" t="s">
        <v>100</v>
      </c>
      <c r="AM27" s="178" t="s">
        <v>52</v>
      </c>
      <c r="AN27" s="178" t="s">
        <v>26</v>
      </c>
      <c r="AO27" s="178" t="s">
        <v>27</v>
      </c>
      <c r="AP27" s="178" t="s">
        <v>28</v>
      </c>
      <c r="AQ27" s="178" t="s">
        <v>29</v>
      </c>
      <c r="AR27" s="178" t="s">
        <v>30</v>
      </c>
      <c r="AS27" s="179" t="s">
        <v>31</v>
      </c>
    </row>
    <row r="28" spans="2:45" x14ac:dyDescent="0.25">
      <c r="B28" s="168" t="s">
        <v>37</v>
      </c>
      <c r="C28" s="187">
        <f>'Transport GHG Inventory'!N37</f>
        <v>1771.9680783402212</v>
      </c>
      <c r="D28" s="187">
        <f>'Transport GHG Inventory'!O37</f>
        <v>1969.1333999999999</v>
      </c>
      <c r="E28" s="187">
        <f>'Transport GHG Inventory'!P37</f>
        <v>2374.4626230000003</v>
      </c>
      <c r="F28" s="187">
        <f>'Transport GHG Inventory'!Q37</f>
        <v>2128.1616329999993</v>
      </c>
      <c r="G28" s="187">
        <f>'Transport GHG Inventory'!R37</f>
        <v>1788.597642</v>
      </c>
      <c r="H28" s="187">
        <f>'Transport GHG Inventory'!S37</f>
        <v>1719.8054249999998</v>
      </c>
      <c r="I28" s="188">
        <f>'Transport GHG Inventory'!T37</f>
        <v>1316.2286669999999</v>
      </c>
      <c r="J28" s="82"/>
      <c r="K28" s="192" t="str">
        <f>'Transport GHG Inventory'!AA37</f>
        <v>HSDO (000 Tonnes)</v>
      </c>
      <c r="L28" s="170">
        <f>'Transport GHG Inventory'!AB37</f>
        <v>9.3261477807380075E-2</v>
      </c>
      <c r="M28" s="170">
        <f>'Transport GHG Inventory'!AC37</f>
        <v>0.1036386</v>
      </c>
      <c r="N28" s="170">
        <f>'Transport GHG Inventory'!AD37</f>
        <v>0.12497171700000001</v>
      </c>
      <c r="O28" s="170">
        <f>'Transport GHG Inventory'!AE37</f>
        <v>0.11200850699999998</v>
      </c>
      <c r="P28" s="170">
        <f>'Transport GHG Inventory'!AF37</f>
        <v>9.4136718000000008E-2</v>
      </c>
      <c r="Q28" s="170">
        <f>'Transport GHG Inventory'!AG37</f>
        <v>9.0516075000000001E-2</v>
      </c>
      <c r="R28" s="171">
        <f>'Transport GHG Inventory'!AH37</f>
        <v>6.9275192999999999E-2</v>
      </c>
      <c r="S28" s="82"/>
      <c r="T28" s="192" t="str">
        <f>'Transport GHG Inventory'!AM37</f>
        <v>HSDO (000 Tonnes)</v>
      </c>
      <c r="U28" s="170">
        <f>'Transport GHG Inventory'!AN37</f>
        <v>9.3261477807380075E-2</v>
      </c>
      <c r="V28" s="170">
        <f>'Transport GHG Inventory'!AO37</f>
        <v>0.1036386</v>
      </c>
      <c r="W28" s="170">
        <f>'Transport GHG Inventory'!AP37</f>
        <v>0.12497171700000001</v>
      </c>
      <c r="X28" s="170">
        <f>'Transport GHG Inventory'!AQ37</f>
        <v>0.11200850699999998</v>
      </c>
      <c r="Y28" s="170">
        <f>'Transport GHG Inventory'!AR37</f>
        <v>9.4136718000000008E-2</v>
      </c>
      <c r="Z28" s="170">
        <f>'Transport GHG Inventory'!AS37</f>
        <v>9.0516075000000001E-2</v>
      </c>
      <c r="AA28" s="171">
        <f>'Transport GHG Inventory'!AT37</f>
        <v>6.9275192999999999E-2</v>
      </c>
      <c r="AB28" s="82"/>
      <c r="AC28" s="192" t="str">
        <f>'Transport GHG Inventory'!AW37</f>
        <v>HSDO (000 Tonnes)</v>
      </c>
      <c r="AD28" s="170">
        <f>'Transport GHG Inventory'!AX37</f>
        <v>1802.837627494464</v>
      </c>
      <c r="AE28" s="170">
        <f>'Transport GHG Inventory'!AY37</f>
        <v>2003.4377766</v>
      </c>
      <c r="AF28" s="170">
        <f>'Transport GHG Inventory'!AZ37</f>
        <v>2415.8282613270007</v>
      </c>
      <c r="AG28" s="170">
        <f>'Transport GHG Inventory'!BA37</f>
        <v>2165.2364488169992</v>
      </c>
      <c r="AH28" s="170">
        <f>'Transport GHG Inventory'!BB37</f>
        <v>1819.7568956579998</v>
      </c>
      <c r="AI28" s="170">
        <f>'Transport GHG Inventory'!BC37</f>
        <v>1749.7662458249997</v>
      </c>
      <c r="AJ28" s="171">
        <f>'Transport GHG Inventory'!BD37</f>
        <v>1339.1587558829999</v>
      </c>
      <c r="AL28" s="192" t="s">
        <v>37</v>
      </c>
      <c r="AM28" s="170">
        <f>'Transport GHG Inventory'!C37*'Transport GHG Inventory'!$C$48*'Emission Factors'!$C$58</f>
        <v>571.15695698587911</v>
      </c>
      <c r="AN28" s="170">
        <f>'Transport GHG Inventory'!D37*'Transport GHG Inventory'!$C$48*'Emission Factors'!$C$58</f>
        <v>634.70908668779998</v>
      </c>
      <c r="AO28" s="170">
        <f>'Transport GHG Inventory'!E37*'Transport GHG Inventory'!$C$48*'Emission Factors'!$C$58</f>
        <v>765.35850888449102</v>
      </c>
      <c r="AP28" s="170">
        <f>'Transport GHG Inventory'!F37*'Transport GHG Inventory'!$C$48*'Emission Factors'!$C$58</f>
        <v>685.9685211806609</v>
      </c>
      <c r="AQ28" s="170">
        <f>'Transport GHG Inventory'!G37*'Transport GHG Inventory'!$C$48*'Emission Factors'!$C$58</f>
        <v>576.51715003451409</v>
      </c>
      <c r="AR28" s="170">
        <f>'Transport GHG Inventory'!H37*'Transport GHG Inventory'!$C$48*'Emission Factors'!$C$58</f>
        <v>554.34341349472504</v>
      </c>
      <c r="AS28" s="171">
        <f>'Transport GHG Inventory'!I37*'Transport GHG Inventory'!$C$48*'Emission Factors'!$C$58</f>
        <v>424.25886184443897</v>
      </c>
    </row>
    <row r="29" spans="2:45" x14ac:dyDescent="0.25">
      <c r="B29" s="168" t="s">
        <v>40</v>
      </c>
      <c r="C29" s="187">
        <f>'Transport GHG Inventory'!N38</f>
        <v>114.1564825187406</v>
      </c>
      <c r="D29" s="187">
        <f>'Transport GHG Inventory'!O38</f>
        <v>105.75329699999998</v>
      </c>
      <c r="E29" s="187">
        <f>'Transport GHG Inventory'!P38</f>
        <v>41.326311000000004</v>
      </c>
      <c r="F29" s="187">
        <f>'Transport GHG Inventory'!Q38</f>
        <v>14.306487000000001</v>
      </c>
      <c r="G29" s="187">
        <f>'Transport GHG Inventory'!R38</f>
        <v>12.076077</v>
      </c>
      <c r="H29" s="187">
        <f>'Transport GHG Inventory'!S38</f>
        <v>5.4167099999999992</v>
      </c>
      <c r="I29" s="188">
        <f>'Transport GHG Inventory'!T38</f>
        <v>6.8505450000000003</v>
      </c>
      <c r="J29" s="82"/>
      <c r="K29" s="192" t="str">
        <f>'Transport GHG Inventory'!AA38</f>
        <v>LDO (000 Tonnes)</v>
      </c>
      <c r="L29" s="170">
        <f>'Transport GHG Inventory'!AB38</f>
        <v>1.5405733133433281E-2</v>
      </c>
      <c r="M29" s="170">
        <f>'Transport GHG Inventory'!AC38</f>
        <v>1.4271699999999998E-2</v>
      </c>
      <c r="N29" s="170">
        <f>'Transport GHG Inventory'!AD38</f>
        <v>5.5771000000000006E-3</v>
      </c>
      <c r="O29" s="170">
        <f>'Transport GHG Inventory'!AE38</f>
        <v>1.9307000000000003E-3</v>
      </c>
      <c r="P29" s="170">
        <f>'Transport GHG Inventory'!AF38</f>
        <v>1.6297E-3</v>
      </c>
      <c r="Q29" s="170">
        <f>'Transport GHG Inventory'!AG38</f>
        <v>7.3099999999999999E-4</v>
      </c>
      <c r="R29" s="171">
        <f>'Transport GHG Inventory'!AH38</f>
        <v>9.2449999999999997E-4</v>
      </c>
      <c r="S29" s="82"/>
      <c r="T29" s="192" t="str">
        <f>'Transport GHG Inventory'!AM38</f>
        <v>LDO (000 Tonnes)</v>
      </c>
      <c r="U29" s="170">
        <f>'Transport GHG Inventory'!AN38</f>
        <v>9.2434398800599678E-4</v>
      </c>
      <c r="V29" s="170">
        <f>'Transport GHG Inventory'!AO38</f>
        <v>8.5630199999999987E-4</v>
      </c>
      <c r="W29" s="170">
        <f>'Transport GHG Inventory'!AP38</f>
        <v>3.3462600000000003E-4</v>
      </c>
      <c r="X29" s="170">
        <f>'Transport GHG Inventory'!AQ38</f>
        <v>1.1584200000000001E-4</v>
      </c>
      <c r="Y29" s="170">
        <f>'Transport GHG Inventory'!AR38</f>
        <v>9.7781999999999993E-5</v>
      </c>
      <c r="Z29" s="170">
        <f>'Transport GHG Inventory'!AS38</f>
        <v>4.385999999999999E-5</v>
      </c>
      <c r="AA29" s="171">
        <f>'Transport GHG Inventory'!AT38</f>
        <v>5.5469999999999996E-5</v>
      </c>
      <c r="AB29" s="82"/>
      <c r="AC29" s="192" t="str">
        <f>'Transport GHG Inventory'!AW38</f>
        <v>LDO (000 Tonnes)</v>
      </c>
      <c r="AD29" s="170">
        <f>'Transport GHG Inventory'!AX38</f>
        <v>114.76654955082455</v>
      </c>
      <c r="AE29" s="170">
        <f>'Transport GHG Inventory'!AY38</f>
        <v>106.31845631999998</v>
      </c>
      <c r="AF29" s="170">
        <f>'Transport GHG Inventory'!AZ38</f>
        <v>41.547164160000001</v>
      </c>
      <c r="AG29" s="170">
        <f>'Transport GHG Inventory'!BA38</f>
        <v>14.382942720000001</v>
      </c>
      <c r="AH29" s="170">
        <f>'Transport GHG Inventory'!BB38</f>
        <v>12.140613119999999</v>
      </c>
      <c r="AI29" s="170">
        <f>'Transport GHG Inventory'!BC38</f>
        <v>5.4456575999999988</v>
      </c>
      <c r="AJ29" s="171">
        <f>'Transport GHG Inventory'!BD38</f>
        <v>6.8871552000000005</v>
      </c>
      <c r="AL29" s="192" t="s">
        <v>40</v>
      </c>
      <c r="AM29" s="170">
        <f>'Transport GHG Inventory'!C38*'Transport GHG Inventory'!$C$56*'Emission Factors'!$C$58</f>
        <v>36.795961491974928</v>
      </c>
      <c r="AN29" s="170">
        <f>'Transport GHG Inventory'!D38*'Transport GHG Inventory'!$C$56*'Emission Factors'!$C$58</f>
        <v>34.087369882148998</v>
      </c>
      <c r="AO29" s="170">
        <f>'Transport GHG Inventory'!E38*'Transport GHG Inventory'!$C$56*'Emission Factors'!$C$58</f>
        <v>13.320674521587001</v>
      </c>
      <c r="AP29" s="170">
        <f>'Transport GHG Inventory'!F38*'Transport GHG Inventory'!$C$56*'Emission Factors'!$C$58</f>
        <v>4.6113977333790004</v>
      </c>
      <c r="AQ29" s="170">
        <f>'Transport GHG Inventory'!G38*'Transport GHG Inventory'!$C$56*'Emission Factors'!$C$58</f>
        <v>3.8924715834089998</v>
      </c>
      <c r="AR29" s="170">
        <f>'Transport GHG Inventory'!H38*'Transport GHG Inventory'!$C$56*'Emission Factors'!$C$58</f>
        <v>1.7459635070699999</v>
      </c>
      <c r="AS29" s="171">
        <f>'Transport GHG Inventory'!I38*'Transport GHG Inventory'!$C$56*'Emission Factors'!$C$58</f>
        <v>2.2081303177650002</v>
      </c>
    </row>
    <row r="30" spans="2:45" x14ac:dyDescent="0.25">
      <c r="B30" s="168" t="s">
        <v>41</v>
      </c>
      <c r="C30" s="170">
        <f>'Transport GHG Inventory'!N39</f>
        <v>791.19280830553828</v>
      </c>
      <c r="D30" s="170">
        <f>'Transport GHG Inventory'!O39</f>
        <v>809.31238002000009</v>
      </c>
      <c r="E30" s="170">
        <f>'Transport GHG Inventory'!P39</f>
        <v>1340.9009283600001</v>
      </c>
      <c r="F30" s="170">
        <f>'Transport GHG Inventory'!Q39</f>
        <v>1731.4189596000001</v>
      </c>
      <c r="G30" s="170">
        <f>'Transport GHG Inventory'!R39</f>
        <v>2414.3744618999999</v>
      </c>
      <c r="H30" s="170">
        <f>'Transport GHG Inventory'!S39</f>
        <v>1141.38024552</v>
      </c>
      <c r="I30" s="171">
        <f>'Transport GHG Inventory'!T39</f>
        <v>848.28952619999995</v>
      </c>
      <c r="J30" s="82"/>
      <c r="K30" s="192" t="str">
        <f>'Transport GHG Inventory'!AA39</f>
        <v>Furnace Oil (000 Tonnes)</v>
      </c>
      <c r="L30" s="170">
        <f>'Transport GHG Inventory'!AB39</f>
        <v>7.1554905143911732E-2</v>
      </c>
      <c r="M30" s="170">
        <f>'Transport GHG Inventory'!AC39</f>
        <v>7.3193626099999992E-2</v>
      </c>
      <c r="N30" s="170">
        <f>'Transport GHG Inventory'!AD39</f>
        <v>0.12127010980000001</v>
      </c>
      <c r="O30" s="170">
        <f>'Transport GHG Inventory'!AE39</f>
        <v>0.156588278</v>
      </c>
      <c r="P30" s="170">
        <f>'Transport GHG Inventory'!AF39</f>
        <v>0.2183542795</v>
      </c>
      <c r="Q30" s="170">
        <f>'Transport GHG Inventory'!AG39</f>
        <v>0.10322560359999999</v>
      </c>
      <c r="R30" s="171">
        <f>'Transport GHG Inventory'!AH39</f>
        <v>7.6718690999999992E-2</v>
      </c>
      <c r="S30" s="82"/>
      <c r="T30" s="192" t="str">
        <f>'Transport GHG Inventory'!AM39</f>
        <v>Furnace Oil (000 Tonnes)</v>
      </c>
      <c r="U30" s="170">
        <f>'Transport GHG Inventory'!AN39</f>
        <v>2.0444258612546208E-2</v>
      </c>
      <c r="V30" s="170">
        <f>'Transport GHG Inventory'!AO39</f>
        <v>2.09124646E-2</v>
      </c>
      <c r="W30" s="170">
        <f>'Transport GHG Inventory'!AP39</f>
        <v>3.4648602799999997E-2</v>
      </c>
      <c r="X30" s="170">
        <f>'Transport GHG Inventory'!AQ39</f>
        <v>4.4739508000000004E-2</v>
      </c>
      <c r="Y30" s="170">
        <f>'Transport GHG Inventory'!AR39</f>
        <v>6.2386936999999996E-2</v>
      </c>
      <c r="Z30" s="170">
        <f>'Transport GHG Inventory'!AS39</f>
        <v>2.9493029599999998E-2</v>
      </c>
      <c r="AA30" s="171">
        <f>'Transport GHG Inventory'!AT39</f>
        <v>2.1919625999999998E-2</v>
      </c>
      <c r="AB30" s="82"/>
      <c r="AC30" s="192" t="str">
        <f>'Transport GHG Inventory'!AW39</f>
        <v>Furnace Oil (000 Tonnes)</v>
      </c>
      <c r="AD30" s="170">
        <f>'Transport GHG Inventory'!AX39</f>
        <v>799.03318148344965</v>
      </c>
      <c r="AE30" s="170">
        <f>'Transport GHG Inventory'!AY39</f>
        <v>817.33231019410016</v>
      </c>
      <c r="AF30" s="170">
        <f>'Transport GHG Inventory'!AZ39</f>
        <v>1354.1886675338001</v>
      </c>
      <c r="AG30" s="170">
        <f>'Transport GHG Inventory'!BA39</f>
        <v>1748.576560918</v>
      </c>
      <c r="AH30" s="170">
        <f>'Transport GHG Inventory'!BB39</f>
        <v>2438.2998522395001</v>
      </c>
      <c r="AI30" s="170">
        <f>'Transport GHG Inventory'!BC39</f>
        <v>1152.6908223716</v>
      </c>
      <c r="AJ30" s="171">
        <f>'Transport GHG Inventory'!BD39</f>
        <v>856.69570277100001</v>
      </c>
      <c r="AK30" s="104"/>
      <c r="AL30" s="170" t="s">
        <v>41</v>
      </c>
      <c r="AM30" s="170">
        <f>'Transport GHG Inventory'!C39*'Transport GHG Inventory'!$C$54*'Emission Factors'!$C$58</f>
        <v>244.15136434067873</v>
      </c>
      <c r="AN30" s="170">
        <f>'Transport GHG Inventory'!D39*'Transport GHG Inventory'!$C$54*'Emission Factors'!$C$58</f>
        <v>249.7428182933873</v>
      </c>
      <c r="AO30" s="170">
        <f>'Transport GHG Inventory'!E39*'Transport GHG Inventory'!$C$54*'Emission Factors'!$C$58</f>
        <v>413.78383077813561</v>
      </c>
      <c r="AP30" s="170">
        <f>'Transport GHG Inventory'!F39*'Transport GHG Inventory'!$C$54*'Emission Factors'!$C$58</f>
        <v>534.29239597993387</v>
      </c>
      <c r="AQ30" s="170">
        <f>'Transport GHG Inventory'!G39*'Transport GHG Inventory'!$C$54*'Emission Factors'!$C$58</f>
        <v>745.04319644237444</v>
      </c>
      <c r="AR30" s="170">
        <f>'Transport GHG Inventory'!H39*'Transport GHG Inventory'!$C$54*'Emission Factors'!$C$58</f>
        <v>352.21445550297756</v>
      </c>
      <c r="AS30" s="171">
        <f>'Transport GHG Inventory'!I39*'Transport GHG Inventory'!$C$54*'Emission Factors'!$C$58</f>
        <v>261.77063669372603</v>
      </c>
    </row>
    <row r="31" spans="2:45" ht="16.5" thickBot="1" x14ac:dyDescent="0.3">
      <c r="B31" s="189" t="s">
        <v>4</v>
      </c>
      <c r="C31" s="190">
        <f>SUM(C28:C30)</f>
        <v>2677.3173691645002</v>
      </c>
      <c r="D31" s="190">
        <f t="shared" ref="D31:I31" si="6">SUM(D28:D30)</f>
        <v>2884.19907702</v>
      </c>
      <c r="E31" s="190">
        <f t="shared" si="6"/>
        <v>3756.68986236</v>
      </c>
      <c r="F31" s="190">
        <f t="shared" si="6"/>
        <v>3873.8870795999992</v>
      </c>
      <c r="G31" s="190">
        <f t="shared" si="6"/>
        <v>4215.0481808999994</v>
      </c>
      <c r="H31" s="190">
        <f t="shared" si="6"/>
        <v>2866.6023805199998</v>
      </c>
      <c r="I31" s="191">
        <f t="shared" si="6"/>
        <v>2171.3687381999998</v>
      </c>
      <c r="J31" s="82"/>
      <c r="K31" s="195" t="str">
        <f>'Transport GHG Inventory'!AA40</f>
        <v xml:space="preserve">Total </v>
      </c>
      <c r="L31" s="190">
        <f>'Transport GHG Inventory'!AB40</f>
        <v>0.1802221160847251</v>
      </c>
      <c r="M31" s="190">
        <f>'Transport GHG Inventory'!AC40</f>
        <v>0.19110392609999999</v>
      </c>
      <c r="N31" s="190">
        <f>'Transport GHG Inventory'!AD40</f>
        <v>0.25181892680000001</v>
      </c>
      <c r="O31" s="190">
        <f>'Transport GHG Inventory'!AE40</f>
        <v>0.27052748499999996</v>
      </c>
      <c r="P31" s="190">
        <f>'Transport GHG Inventory'!AF40</f>
        <v>0.31412069749999999</v>
      </c>
      <c r="Q31" s="190">
        <f>'Transport GHG Inventory'!AG40</f>
        <v>0.1944726786</v>
      </c>
      <c r="R31" s="191">
        <f>'Transport GHG Inventory'!AH40</f>
        <v>0.14691838399999999</v>
      </c>
      <c r="S31" s="82"/>
      <c r="T31" s="193" t="str">
        <f>'Transport GHG Inventory'!AM40</f>
        <v xml:space="preserve">Total </v>
      </c>
      <c r="U31" s="172">
        <f>'Transport GHG Inventory'!AN40</f>
        <v>0.11463008040793227</v>
      </c>
      <c r="V31" s="172">
        <f>'Transport GHG Inventory'!AO40</f>
        <v>0.12540736660000001</v>
      </c>
      <c r="W31" s="172">
        <f>'Transport GHG Inventory'!AP40</f>
        <v>0.15995494580000003</v>
      </c>
      <c r="X31" s="172">
        <f>'Transport GHG Inventory'!AQ40</f>
        <v>0.156863857</v>
      </c>
      <c r="Y31" s="172">
        <f>'Transport GHG Inventory'!AR40</f>
        <v>0.156621437</v>
      </c>
      <c r="Z31" s="172">
        <f>'Transport GHG Inventory'!AS40</f>
        <v>0.12005296460000001</v>
      </c>
      <c r="AA31" s="173">
        <f>'Transport GHG Inventory'!AT40</f>
        <v>9.1250288999999998E-2</v>
      </c>
      <c r="AB31" s="82"/>
      <c r="AC31" s="193" t="str">
        <f>'Transport GHG Inventory'!AW40</f>
        <v xml:space="preserve">Total </v>
      </c>
      <c r="AD31" s="172">
        <f>'Transport GHG Inventory'!AX40</f>
        <v>2716.6373585287383</v>
      </c>
      <c r="AE31" s="172">
        <f>'Transport GHG Inventory'!AY40</f>
        <v>2927.0885431141</v>
      </c>
      <c r="AF31" s="172">
        <f>'Transport GHG Inventory'!AZ40</f>
        <v>3811.564093020801</v>
      </c>
      <c r="AG31" s="172">
        <f>'Transport GHG Inventory'!BA40</f>
        <v>3928.1959524549993</v>
      </c>
      <c r="AH31" s="172">
        <f>'Transport GHG Inventory'!BB40</f>
        <v>4270.1973610175</v>
      </c>
      <c r="AI31" s="172">
        <f>'Transport GHG Inventory'!BC40</f>
        <v>2907.9027257966</v>
      </c>
      <c r="AJ31" s="173">
        <f>'Transport GHG Inventory'!BD40</f>
        <v>2202.7416138540002</v>
      </c>
      <c r="AK31" s="104"/>
      <c r="AL31" s="195" t="s">
        <v>119</v>
      </c>
      <c r="AM31" s="190">
        <f>SUM(AM28:AM30)</f>
        <v>852.10428281853274</v>
      </c>
      <c r="AN31" s="190">
        <f t="shared" ref="AN31:AS31" si="7">SUM(AN28:AN30)</f>
        <v>918.53927486333623</v>
      </c>
      <c r="AO31" s="190">
        <f t="shared" si="7"/>
        <v>1192.4630141842135</v>
      </c>
      <c r="AP31" s="190">
        <f t="shared" si="7"/>
        <v>1224.8723148939739</v>
      </c>
      <c r="AQ31" s="190">
        <f t="shared" si="7"/>
        <v>1325.4528180602974</v>
      </c>
      <c r="AR31" s="190">
        <f t="shared" si="7"/>
        <v>908.30383250477257</v>
      </c>
      <c r="AS31" s="190">
        <f t="shared" si="7"/>
        <v>688.23762885592998</v>
      </c>
    </row>
    <row r="34" spans="1:44" x14ac:dyDescent="0.25">
      <c r="A34" s="53" t="s">
        <v>147</v>
      </c>
    </row>
    <row r="35" spans="1:44" ht="16.5" thickBot="1" x14ac:dyDescent="0.3"/>
    <row r="36" spans="1:44" ht="16.5" thickBot="1" x14ac:dyDescent="0.3">
      <c r="B36" s="214" t="s">
        <v>104</v>
      </c>
      <c r="C36" s="215"/>
      <c r="D36" s="215"/>
      <c r="E36" s="215"/>
      <c r="F36" s="215"/>
      <c r="G36" s="215"/>
      <c r="H36" s="216"/>
      <c r="K36" s="214" t="s">
        <v>103</v>
      </c>
      <c r="L36" s="215"/>
      <c r="M36" s="215"/>
      <c r="N36" s="215"/>
      <c r="O36" s="215"/>
      <c r="P36" s="215"/>
      <c r="Q36" s="216"/>
      <c r="T36" s="214" t="s">
        <v>105</v>
      </c>
      <c r="U36" s="215"/>
      <c r="V36" s="215"/>
      <c r="W36" s="215"/>
      <c r="X36" s="215"/>
      <c r="Y36" s="215"/>
      <c r="Z36" s="216"/>
      <c r="AC36" s="214" t="s">
        <v>146</v>
      </c>
      <c r="AD36" s="215"/>
      <c r="AE36" s="215"/>
      <c r="AF36" s="215"/>
      <c r="AG36" s="215"/>
      <c r="AH36" s="215"/>
      <c r="AI36" s="216"/>
      <c r="AL36" s="214" t="s">
        <v>181</v>
      </c>
      <c r="AM36" s="215"/>
      <c r="AN36" s="215"/>
      <c r="AO36" s="215"/>
      <c r="AP36" s="215"/>
      <c r="AQ36" s="215"/>
      <c r="AR36" s="216"/>
    </row>
    <row r="37" spans="1:44" x14ac:dyDescent="0.25">
      <c r="B37" s="168"/>
      <c r="C37" s="55"/>
      <c r="D37" s="55"/>
      <c r="E37" s="55"/>
      <c r="F37" s="55"/>
      <c r="G37" s="55"/>
      <c r="H37" s="169"/>
      <c r="K37" s="168"/>
      <c r="L37" s="55"/>
      <c r="M37" s="55"/>
      <c r="N37" s="55"/>
      <c r="O37" s="55"/>
      <c r="P37" s="55"/>
      <c r="Q37" s="169"/>
      <c r="T37" s="168"/>
      <c r="U37" s="55"/>
      <c r="V37" s="55"/>
      <c r="W37" s="55"/>
      <c r="X37" s="55"/>
      <c r="Y37" s="55"/>
      <c r="Z37" s="169"/>
      <c r="AC37" s="168"/>
      <c r="AD37" s="55"/>
      <c r="AE37" s="55"/>
      <c r="AF37" s="55"/>
      <c r="AG37" s="55"/>
      <c r="AH37" s="55"/>
      <c r="AI37" s="169"/>
      <c r="AL37" s="168"/>
      <c r="AM37" s="55"/>
      <c r="AN37" s="55"/>
      <c r="AO37" s="55"/>
      <c r="AP37" s="55"/>
      <c r="AQ37" s="55"/>
      <c r="AR37" s="169"/>
    </row>
    <row r="38" spans="1:44" x14ac:dyDescent="0.25">
      <c r="B38" s="177" t="s">
        <v>0</v>
      </c>
      <c r="C38" s="178">
        <v>2007</v>
      </c>
      <c r="D38" s="178">
        <v>2008</v>
      </c>
      <c r="E38" s="178">
        <v>2009</v>
      </c>
      <c r="F38" s="178">
        <v>2010</v>
      </c>
      <c r="G38" s="178">
        <v>2011</v>
      </c>
      <c r="H38" s="179">
        <v>2012</v>
      </c>
      <c r="K38" s="177" t="s">
        <v>0</v>
      </c>
      <c r="L38" s="178">
        <v>2007</v>
      </c>
      <c r="M38" s="178">
        <v>2008</v>
      </c>
      <c r="N38" s="178">
        <v>2009</v>
      </c>
      <c r="O38" s="178">
        <v>2010</v>
      </c>
      <c r="P38" s="178">
        <v>2011</v>
      </c>
      <c r="Q38" s="179">
        <v>2012</v>
      </c>
      <c r="T38" s="177" t="s">
        <v>0</v>
      </c>
      <c r="U38" s="178">
        <v>2007</v>
      </c>
      <c r="V38" s="178">
        <v>2008</v>
      </c>
      <c r="W38" s="178">
        <v>2009</v>
      </c>
      <c r="X38" s="178">
        <v>2010</v>
      </c>
      <c r="Y38" s="178">
        <v>2011</v>
      </c>
      <c r="Z38" s="179">
        <v>2012</v>
      </c>
      <c r="AC38" s="177" t="s">
        <v>0</v>
      </c>
      <c r="AD38" s="178">
        <v>2007</v>
      </c>
      <c r="AE38" s="178">
        <v>2008</v>
      </c>
      <c r="AF38" s="178">
        <v>2009</v>
      </c>
      <c r="AG38" s="178">
        <v>2010</v>
      </c>
      <c r="AH38" s="178">
        <v>2011</v>
      </c>
      <c r="AI38" s="179">
        <v>2012</v>
      </c>
      <c r="AL38" s="177" t="s">
        <v>0</v>
      </c>
      <c r="AM38" s="178">
        <v>2007</v>
      </c>
      <c r="AN38" s="178">
        <v>2008</v>
      </c>
      <c r="AO38" s="178">
        <v>2009</v>
      </c>
      <c r="AP38" s="178">
        <v>2010</v>
      </c>
      <c r="AQ38" s="178">
        <v>2011</v>
      </c>
      <c r="AR38" s="179">
        <v>2012</v>
      </c>
    </row>
    <row r="39" spans="1:44" x14ac:dyDescent="0.25">
      <c r="B39" s="168" t="s">
        <v>48</v>
      </c>
      <c r="C39" s="170">
        <f>C5*1/4+D5*3/4</f>
        <v>30915.474697799997</v>
      </c>
      <c r="D39" s="170">
        <f t="shared" ref="D39:H39" si="8">D5*1/4+E5*3/4</f>
        <v>33851.214035099998</v>
      </c>
      <c r="E39" s="170">
        <f t="shared" si="8"/>
        <v>38153.835719999995</v>
      </c>
      <c r="F39" s="170">
        <f t="shared" si="8"/>
        <v>42519.361499999999</v>
      </c>
      <c r="G39" s="170">
        <f t="shared" si="8"/>
        <v>45412.827074999994</v>
      </c>
      <c r="H39" s="171">
        <f t="shared" si="8"/>
        <v>47756.764439999999</v>
      </c>
      <c r="I39" s="82"/>
      <c r="J39" s="82"/>
      <c r="K39" s="192" t="s">
        <v>48</v>
      </c>
      <c r="L39" s="170">
        <f>L5*1/4+M5*3/4</f>
        <v>14.721654617999999</v>
      </c>
      <c r="M39" s="170">
        <f t="shared" ref="M39:Q39" si="9">M5*1/4+N5*3/4</f>
        <v>16.119625730999999</v>
      </c>
      <c r="N39" s="170">
        <f t="shared" si="9"/>
        <v>18.168493199999997</v>
      </c>
      <c r="O39" s="170">
        <f t="shared" si="9"/>
        <v>20.247314999999997</v>
      </c>
      <c r="P39" s="170">
        <f t="shared" si="9"/>
        <v>21.625155750000001</v>
      </c>
      <c r="Q39" s="171">
        <f t="shared" si="9"/>
        <v>22.741316400000002</v>
      </c>
      <c r="R39" s="82"/>
      <c r="S39" s="82"/>
      <c r="T39" s="192" t="s">
        <v>48</v>
      </c>
      <c r="U39" s="170">
        <f>U5*1/4+V5*3/4</f>
        <v>1.4275543871999998</v>
      </c>
      <c r="V39" s="170">
        <f t="shared" ref="V39:Z39" si="10">V5*1/4+W5*3/4</f>
        <v>1.5631152224</v>
      </c>
      <c r="W39" s="170">
        <f t="shared" si="10"/>
        <v>1.7617932799999998</v>
      </c>
      <c r="X39" s="170">
        <f t="shared" si="10"/>
        <v>1.9633759999999998</v>
      </c>
      <c r="Y39" s="170">
        <f t="shared" si="10"/>
        <v>2.0969847999999995</v>
      </c>
      <c r="Z39" s="171">
        <f t="shared" si="10"/>
        <v>2.20521856</v>
      </c>
      <c r="AA39" s="82"/>
      <c r="AB39" s="82"/>
      <c r="AC39" s="192" t="s">
        <v>48</v>
      </c>
      <c r="AD39" s="170">
        <f>AD5*1/4+AE5*3/4</f>
        <v>31667.171304809995</v>
      </c>
      <c r="AE39" s="170">
        <f t="shared" ref="AE39:AI39" si="11">AE5*1/4+AF5*3/4</f>
        <v>34674.291894394999</v>
      </c>
      <c r="AF39" s="170">
        <f t="shared" si="11"/>
        <v>39081.529993999997</v>
      </c>
      <c r="AG39" s="170">
        <f t="shared" si="11"/>
        <v>43553.201674999997</v>
      </c>
      <c r="AH39" s="170">
        <f t="shared" si="11"/>
        <v>46517.020633749999</v>
      </c>
      <c r="AI39" s="171">
        <f t="shared" si="11"/>
        <v>48917.949837999993</v>
      </c>
      <c r="AJ39" s="82"/>
      <c r="AL39" s="192" t="s">
        <v>48</v>
      </c>
      <c r="AM39" s="170">
        <f>AM5*1/4+AN5*3/4</f>
        <v>10655.172128970915</v>
      </c>
      <c r="AN39" s="170">
        <f t="shared" ref="AN39:AR39" si="12">AN5*1/4+AO5*3/4</f>
        <v>11666.989294015077</v>
      </c>
      <c r="AO39" s="170">
        <f t="shared" si="12"/>
        <v>13149.909259067877</v>
      </c>
      <c r="AP39" s="170">
        <f t="shared" si="12"/>
        <v>14654.509433383499</v>
      </c>
      <c r="AQ39" s="170">
        <f t="shared" si="12"/>
        <v>15651.756735980174</v>
      </c>
      <c r="AR39" s="171">
        <f t="shared" si="12"/>
        <v>16459.60640763276</v>
      </c>
    </row>
    <row r="40" spans="1:44" x14ac:dyDescent="0.25">
      <c r="B40" s="168" t="s">
        <v>37</v>
      </c>
      <c r="C40" s="170">
        <f t="shared" ref="C40:H46" si="13">C6*1/4+D6*3/4</f>
        <v>7286.1423735375074</v>
      </c>
      <c r="D40" s="170">
        <f t="shared" si="13"/>
        <v>7554.6296767499989</v>
      </c>
      <c r="E40" s="170">
        <f t="shared" si="13"/>
        <v>7712.6781224999986</v>
      </c>
      <c r="F40" s="170">
        <f t="shared" si="13"/>
        <v>7873.7455874999996</v>
      </c>
      <c r="G40" s="170">
        <f t="shared" si="13"/>
        <v>8092.0708634999974</v>
      </c>
      <c r="H40" s="171">
        <f t="shared" si="13"/>
        <v>7312.4788424999988</v>
      </c>
      <c r="I40" s="82"/>
      <c r="J40" s="82"/>
      <c r="K40" s="192" t="s">
        <v>37</v>
      </c>
      <c r="L40" s="170">
        <f t="shared" ref="L40:Q46" si="14">L6*1/4+M6*3/4</f>
        <v>0.38348117755460576</v>
      </c>
      <c r="M40" s="170">
        <f t="shared" si="14"/>
        <v>0.39761208825</v>
      </c>
      <c r="N40" s="170">
        <f t="shared" si="14"/>
        <v>0.40593042749999997</v>
      </c>
      <c r="O40" s="170">
        <f t="shared" si="14"/>
        <v>0.41440766249999994</v>
      </c>
      <c r="P40" s="170">
        <f t="shared" si="14"/>
        <v>0.42589846649999996</v>
      </c>
      <c r="Q40" s="171">
        <f t="shared" si="14"/>
        <v>0.38486730749999998</v>
      </c>
      <c r="R40" s="82"/>
      <c r="S40" s="82"/>
      <c r="T40" s="192" t="s">
        <v>37</v>
      </c>
      <c r="U40" s="170">
        <f t="shared" ref="U40:Z46" si="15">U6*1/4+V6*3/4</f>
        <v>0.38348117755460576</v>
      </c>
      <c r="V40" s="170">
        <f t="shared" si="15"/>
        <v>0.39761208825</v>
      </c>
      <c r="W40" s="170">
        <f t="shared" si="15"/>
        <v>0.40593042749999997</v>
      </c>
      <c r="X40" s="170">
        <f t="shared" si="15"/>
        <v>0.41440766249999994</v>
      </c>
      <c r="Y40" s="170">
        <f t="shared" si="15"/>
        <v>0.42589846649999996</v>
      </c>
      <c r="Z40" s="171">
        <f t="shared" si="15"/>
        <v>0.38486730749999998</v>
      </c>
      <c r="AA40" s="82"/>
      <c r="AB40" s="82"/>
      <c r="AC40" s="192" t="s">
        <v>37</v>
      </c>
      <c r="AD40" s="170">
        <f t="shared" ref="AD40:AI40" si="16">AD6*1/4+AE6*3/4</f>
        <v>7413.0746433080822</v>
      </c>
      <c r="AE40" s="170">
        <f t="shared" si="16"/>
        <v>7686.239277960748</v>
      </c>
      <c r="AF40" s="170">
        <f t="shared" si="16"/>
        <v>7847.0410940024994</v>
      </c>
      <c r="AG40" s="170">
        <f t="shared" si="16"/>
        <v>8010.9145237874982</v>
      </c>
      <c r="AH40" s="170">
        <f t="shared" si="16"/>
        <v>8233.0432559114979</v>
      </c>
      <c r="AI40" s="171">
        <f t="shared" si="16"/>
        <v>7439.8699212824995</v>
      </c>
      <c r="AJ40" s="82"/>
      <c r="AL40" s="192" t="s">
        <v>37</v>
      </c>
      <c r="AM40" s="170">
        <f t="shared" ref="AM40:AR40" si="17">AM6*1/4+AN6*3/4</f>
        <v>2348.5360470678479</v>
      </c>
      <c r="AN40" s="170">
        <f t="shared" si="17"/>
        <v>2435.0773301567797</v>
      </c>
      <c r="AO40" s="170">
        <f t="shared" si="17"/>
        <v>2486.0209506623323</v>
      </c>
      <c r="AP40" s="170">
        <f t="shared" si="17"/>
        <v>2537.9376890637373</v>
      </c>
      <c r="AQ40" s="170">
        <f t="shared" si="17"/>
        <v>2608.3102887722293</v>
      </c>
      <c r="AR40" s="171">
        <f t="shared" si="17"/>
        <v>2357.0250586105726</v>
      </c>
    </row>
    <row r="41" spans="1:44" x14ac:dyDescent="0.25">
      <c r="B41" s="168" t="s">
        <v>101</v>
      </c>
      <c r="C41" s="170">
        <f t="shared" si="13"/>
        <v>583.39577547159888</v>
      </c>
      <c r="D41" s="170">
        <f t="shared" si="13"/>
        <v>555.42471984999986</v>
      </c>
      <c r="E41" s="170">
        <f t="shared" si="13"/>
        <v>637.75573839999993</v>
      </c>
      <c r="F41" s="170">
        <f t="shared" si="13"/>
        <v>666.729034125</v>
      </c>
      <c r="G41" s="170">
        <f t="shared" si="13"/>
        <v>665.22179597500008</v>
      </c>
      <c r="H41" s="171">
        <f t="shared" si="13"/>
        <v>645.30685229999995</v>
      </c>
      <c r="I41" s="82"/>
      <c r="J41" s="82"/>
      <c r="K41" s="192" t="s">
        <v>101</v>
      </c>
      <c r="L41" s="170">
        <f t="shared" si="14"/>
        <v>0.57322564309412249</v>
      </c>
      <c r="M41" s="170">
        <f t="shared" si="14"/>
        <v>0.54574219699999982</v>
      </c>
      <c r="N41" s="170">
        <f t="shared" si="14"/>
        <v>0.62663796800000005</v>
      </c>
      <c r="O41" s="170">
        <f t="shared" si="14"/>
        <v>0.65510618249999997</v>
      </c>
      <c r="P41" s="170">
        <f t="shared" si="14"/>
        <v>0.65362521949999997</v>
      </c>
      <c r="Q41" s="171">
        <f t="shared" si="14"/>
        <v>0.63405744599999991</v>
      </c>
      <c r="R41" s="82"/>
      <c r="S41" s="82"/>
      <c r="T41" s="192" t="s">
        <v>101</v>
      </c>
      <c r="U41" s="170">
        <f t="shared" si="15"/>
        <v>1.8491149777229759E-3</v>
      </c>
      <c r="V41" s="170">
        <f t="shared" si="15"/>
        <v>1.7604586999999999E-3</v>
      </c>
      <c r="W41" s="170">
        <f t="shared" si="15"/>
        <v>2.0214128E-3</v>
      </c>
      <c r="X41" s="170">
        <f t="shared" si="15"/>
        <v>2.1132457500000002E-3</v>
      </c>
      <c r="Y41" s="170">
        <f t="shared" si="15"/>
        <v>2.10846845E-3</v>
      </c>
      <c r="Z41" s="171">
        <f t="shared" si="15"/>
        <v>2.0453465999999997E-3</v>
      </c>
      <c r="AA41" s="82"/>
      <c r="AB41" s="82"/>
      <c r="AC41" s="192" t="s">
        <v>101</v>
      </c>
      <c r="AD41" s="170">
        <f t="shared" ref="AD41:AI41" si="18">AD7*1/4+AE7*3/4</f>
        <v>596.00673961966959</v>
      </c>
      <c r="AE41" s="170">
        <f t="shared" si="18"/>
        <v>567.43104818399979</v>
      </c>
      <c r="AF41" s="170">
        <f t="shared" si="18"/>
        <v>651.54177369599995</v>
      </c>
      <c r="AG41" s="170">
        <f t="shared" si="18"/>
        <v>681.14137013999994</v>
      </c>
      <c r="AH41" s="170">
        <f t="shared" si="18"/>
        <v>679.601550804</v>
      </c>
      <c r="AI41" s="171">
        <f t="shared" si="18"/>
        <v>659.25611611199997</v>
      </c>
      <c r="AJ41" s="82"/>
      <c r="AL41" s="192" t="s">
        <v>101</v>
      </c>
      <c r="AM41" s="170">
        <f t="shared" ref="AM41:AR41" si="19">AM7*1/4+AN7*3/4</f>
        <v>220.82676275518958</v>
      </c>
      <c r="AN41" s="170">
        <f t="shared" si="19"/>
        <v>210.23916866647693</v>
      </c>
      <c r="AO41" s="170">
        <f t="shared" si="19"/>
        <v>241.40307671164081</v>
      </c>
      <c r="AP41" s="170">
        <f t="shared" si="19"/>
        <v>252.37003837009388</v>
      </c>
      <c r="AQ41" s="170">
        <f t="shared" si="19"/>
        <v>251.79951911822485</v>
      </c>
      <c r="AR41" s="171">
        <f t="shared" si="19"/>
        <v>244.26132167645008</v>
      </c>
    </row>
    <row r="42" spans="1:44" x14ac:dyDescent="0.25">
      <c r="B42" s="168" t="s">
        <v>40</v>
      </c>
      <c r="C42" s="170">
        <f t="shared" si="13"/>
        <v>0</v>
      </c>
      <c r="D42" s="170">
        <f t="shared" si="13"/>
        <v>0</v>
      </c>
      <c r="E42" s="170">
        <f t="shared" si="13"/>
        <v>0</v>
      </c>
      <c r="F42" s="170">
        <f t="shared" si="13"/>
        <v>0</v>
      </c>
      <c r="G42" s="170">
        <f t="shared" si="13"/>
        <v>2.3897249999999995E-2</v>
      </c>
      <c r="H42" s="171">
        <f t="shared" si="13"/>
        <v>5.576024999999999E-2</v>
      </c>
      <c r="I42" s="82"/>
      <c r="J42" s="82"/>
      <c r="K42" s="192" t="s">
        <v>40</v>
      </c>
      <c r="L42" s="170">
        <f t="shared" si="14"/>
        <v>0</v>
      </c>
      <c r="M42" s="170">
        <f t="shared" si="14"/>
        <v>0</v>
      </c>
      <c r="N42" s="170">
        <f t="shared" si="14"/>
        <v>0</v>
      </c>
      <c r="O42" s="170">
        <f t="shared" si="14"/>
        <v>0</v>
      </c>
      <c r="P42" s="170">
        <f t="shared" si="14"/>
        <v>3.2249999999999996E-6</v>
      </c>
      <c r="Q42" s="171">
        <f t="shared" si="14"/>
        <v>7.5249999999999991E-6</v>
      </c>
      <c r="R42" s="82"/>
      <c r="S42" s="82"/>
      <c r="T42" s="192" t="s">
        <v>40</v>
      </c>
      <c r="U42" s="170">
        <f t="shared" si="15"/>
        <v>0</v>
      </c>
      <c r="V42" s="170">
        <f t="shared" si="15"/>
        <v>0</v>
      </c>
      <c r="W42" s="170">
        <f t="shared" si="15"/>
        <v>0</v>
      </c>
      <c r="X42" s="170">
        <f t="shared" si="15"/>
        <v>0</v>
      </c>
      <c r="Y42" s="170">
        <f t="shared" si="15"/>
        <v>1.9350000000000001E-7</v>
      </c>
      <c r="Z42" s="171">
        <f t="shared" si="15"/>
        <v>4.5150000000000004E-7</v>
      </c>
      <c r="AA42" s="82"/>
      <c r="AB42" s="82"/>
      <c r="AC42" s="192" t="s">
        <v>40</v>
      </c>
      <c r="AD42" s="170">
        <f t="shared" ref="AD42:AI42" si="20">AD8*1/4+AE8*3/4</f>
        <v>0</v>
      </c>
      <c r="AE42" s="170">
        <f t="shared" si="20"/>
        <v>0</v>
      </c>
      <c r="AF42" s="170">
        <f t="shared" si="20"/>
        <v>0</v>
      </c>
      <c r="AG42" s="170">
        <f t="shared" si="20"/>
        <v>0</v>
      </c>
      <c r="AH42" s="170">
        <f t="shared" si="20"/>
        <v>2.4024959999999998E-2</v>
      </c>
      <c r="AI42" s="171">
        <f t="shared" si="20"/>
        <v>5.6058239999999995E-2</v>
      </c>
      <c r="AJ42" s="82"/>
      <c r="AL42" s="192" t="s">
        <v>40</v>
      </c>
      <c r="AM42" s="170">
        <f t="shared" ref="AM42:AR42" si="21">AM8*1/4+AN8*3/4</f>
        <v>0</v>
      </c>
      <c r="AN42" s="170">
        <f t="shared" si="21"/>
        <v>0</v>
      </c>
      <c r="AO42" s="170">
        <f t="shared" si="21"/>
        <v>0</v>
      </c>
      <c r="AP42" s="170">
        <f t="shared" si="21"/>
        <v>0</v>
      </c>
      <c r="AQ42" s="170">
        <f t="shared" si="21"/>
        <v>7.70278017825E-3</v>
      </c>
      <c r="AR42" s="171">
        <f t="shared" si="21"/>
        <v>1.7973153749250001E-2</v>
      </c>
    </row>
    <row r="43" spans="1:44" x14ac:dyDescent="0.25">
      <c r="B43" s="168" t="s">
        <v>41</v>
      </c>
      <c r="C43" s="170">
        <f t="shared" si="13"/>
        <v>169.66721534751292</v>
      </c>
      <c r="D43" s="170">
        <f t="shared" si="13"/>
        <v>120.88203516</v>
      </c>
      <c r="E43" s="170">
        <f t="shared" si="13"/>
        <v>26.588759535000001</v>
      </c>
      <c r="F43" s="170">
        <f t="shared" si="13"/>
        <v>0.38106148500000003</v>
      </c>
      <c r="G43" s="170">
        <f t="shared" si="13"/>
        <v>1.6331206500000002</v>
      </c>
      <c r="H43" s="171">
        <f t="shared" si="13"/>
        <v>3.6706330800000004</v>
      </c>
      <c r="I43" s="82"/>
      <c r="J43" s="82"/>
      <c r="K43" s="192" t="s">
        <v>41</v>
      </c>
      <c r="L43" s="170">
        <f t="shared" si="14"/>
        <v>6.5762486568803459E-3</v>
      </c>
      <c r="M43" s="170">
        <f t="shared" si="14"/>
        <v>4.6853501999999997E-3</v>
      </c>
      <c r="N43" s="170">
        <f t="shared" si="14"/>
        <v>1.0305720749999999E-3</v>
      </c>
      <c r="O43" s="170">
        <f t="shared" si="14"/>
        <v>1.4769824999999997E-5</v>
      </c>
      <c r="P43" s="170">
        <f t="shared" si="14"/>
        <v>6.3299249999999995E-5</v>
      </c>
      <c r="Q43" s="171">
        <f t="shared" si="14"/>
        <v>1.422726E-4</v>
      </c>
      <c r="R43" s="82"/>
      <c r="S43" s="82"/>
      <c r="T43" s="192" t="s">
        <v>41</v>
      </c>
      <c r="U43" s="170">
        <f t="shared" si="15"/>
        <v>1.3152497313760692E-3</v>
      </c>
      <c r="V43" s="170">
        <f t="shared" si="15"/>
        <v>9.3707003999999997E-4</v>
      </c>
      <c r="W43" s="170">
        <f t="shared" si="15"/>
        <v>2.0611441500000002E-4</v>
      </c>
      <c r="X43" s="170">
        <f t="shared" si="15"/>
        <v>2.9539650000000001E-6</v>
      </c>
      <c r="Y43" s="170">
        <f t="shared" si="15"/>
        <v>1.2659849999999999E-5</v>
      </c>
      <c r="Z43" s="171">
        <f t="shared" si="15"/>
        <v>2.8454519999999998E-5</v>
      </c>
      <c r="AA43" s="82"/>
      <c r="AB43" s="82"/>
      <c r="AC43" s="192" t="s">
        <v>41</v>
      </c>
      <c r="AD43" s="170">
        <f t="shared" ref="AD43:AI43" si="22">AD9*1/4+AE9*3/4</f>
        <v>170.21304398603402</v>
      </c>
      <c r="AE43" s="170">
        <f t="shared" si="22"/>
        <v>121.2709192266</v>
      </c>
      <c r="AF43" s="170">
        <f t="shared" si="22"/>
        <v>26.674297017225005</v>
      </c>
      <c r="AG43" s="170">
        <f t="shared" si="22"/>
        <v>0.38228738047499999</v>
      </c>
      <c r="AH43" s="170">
        <f t="shared" si="22"/>
        <v>1.6383744877500002</v>
      </c>
      <c r="AI43" s="171">
        <f t="shared" si="22"/>
        <v>3.6824417058000001</v>
      </c>
      <c r="AJ43" s="82"/>
      <c r="AL43" s="192" t="s">
        <v>41</v>
      </c>
      <c r="AM43" s="170">
        <f t="shared" ref="AM43:AR43" si="23">AM9*1/4+AN9*3/4</f>
        <v>52.357000311587718</v>
      </c>
      <c r="AN43" s="170">
        <f t="shared" si="23"/>
        <v>37.302555709270976</v>
      </c>
      <c r="AO43" s="170">
        <f t="shared" si="23"/>
        <v>8.2049303892175427</v>
      </c>
      <c r="AP43" s="170">
        <f t="shared" si="23"/>
        <v>0.11759040335526749</v>
      </c>
      <c r="AQ43" s="170">
        <f t="shared" si="23"/>
        <v>0.5039588715225749</v>
      </c>
      <c r="AR43" s="171">
        <f t="shared" si="23"/>
        <v>1.13270755885074</v>
      </c>
    </row>
    <row r="44" spans="1:44" x14ac:dyDescent="0.25">
      <c r="B44" s="168" t="s">
        <v>83</v>
      </c>
      <c r="C44" s="170">
        <f t="shared" si="13"/>
        <v>1803.981597884733</v>
      </c>
      <c r="D44" s="170">
        <f t="shared" si="13"/>
        <v>2045.7128270111793</v>
      </c>
      <c r="E44" s="170">
        <f t="shared" si="13"/>
        <v>2767.9444689599995</v>
      </c>
      <c r="F44" s="170">
        <f t="shared" si="13"/>
        <v>3231.0737553600002</v>
      </c>
      <c r="G44" s="170">
        <f t="shared" si="13"/>
        <v>4099.814658719999</v>
      </c>
      <c r="H44" s="171">
        <f t="shared" si="13"/>
        <v>4055.3691868799979</v>
      </c>
      <c r="I44" s="82"/>
      <c r="J44" s="82"/>
      <c r="K44" s="192" t="s">
        <v>83</v>
      </c>
      <c r="L44" s="170">
        <f t="shared" si="14"/>
        <v>2.9584011943920752</v>
      </c>
      <c r="M44" s="170">
        <f t="shared" si="14"/>
        <v>3.3548231744211856</v>
      </c>
      <c r="N44" s="170">
        <f t="shared" si="14"/>
        <v>4.5392315711999993</v>
      </c>
      <c r="O44" s="170">
        <f t="shared" si="14"/>
        <v>5.2987305791999999</v>
      </c>
      <c r="P44" s="170">
        <f t="shared" si="14"/>
        <v>6.7234037183999993</v>
      </c>
      <c r="Q44" s="171">
        <f t="shared" si="14"/>
        <v>6.6505163135999954</v>
      </c>
      <c r="R44" s="82"/>
      <c r="S44" s="82"/>
      <c r="T44" s="192" t="s">
        <v>83</v>
      </c>
      <c r="U44" s="170">
        <f t="shared" si="15"/>
        <v>9.6469604164958964E-2</v>
      </c>
      <c r="V44" s="170">
        <f t="shared" si="15"/>
        <v>0.10939640786156039</v>
      </c>
      <c r="W44" s="170">
        <f t="shared" si="15"/>
        <v>0.14801842079999999</v>
      </c>
      <c r="X44" s="170">
        <f t="shared" si="15"/>
        <v>0.1727846928</v>
      </c>
      <c r="Y44" s="170">
        <f t="shared" si="15"/>
        <v>0.21924142559999996</v>
      </c>
      <c r="Z44" s="171">
        <f t="shared" si="15"/>
        <v>0.21686466239999985</v>
      </c>
      <c r="AA44" s="82"/>
      <c r="AB44" s="82"/>
      <c r="AC44" s="192" t="s">
        <v>83</v>
      </c>
      <c r="AD44" s="170">
        <f t="shared" ref="AD44:AI44" si="24">AD10*1/4+AE10*3/4</f>
        <v>1896.0136002581039</v>
      </c>
      <c r="AE44" s="170">
        <f t="shared" si="24"/>
        <v>2150.0770001111077</v>
      </c>
      <c r="AF44" s="170">
        <f t="shared" si="24"/>
        <v>2909.1540424031996</v>
      </c>
      <c r="AG44" s="170">
        <f t="shared" si="24"/>
        <v>3395.9103522912001</v>
      </c>
      <c r="AH44" s="170">
        <f t="shared" si="24"/>
        <v>4308.970978742399</v>
      </c>
      <c r="AI44" s="171">
        <f t="shared" si="24"/>
        <v>4262.258074809597</v>
      </c>
      <c r="AJ44" s="82"/>
      <c r="AL44" s="192" t="s">
        <v>83</v>
      </c>
      <c r="AM44" s="170">
        <f t="shared" ref="AM44:AR44" si="25">AM10*1/4+AN10*3/4</f>
        <v>768.04563800048538</v>
      </c>
      <c r="AN44" s="170">
        <f t="shared" si="25"/>
        <v>870.9627721424082</v>
      </c>
      <c r="AO44" s="170">
        <f t="shared" si="25"/>
        <v>1178.4530829499818</v>
      </c>
      <c r="AP44" s="170">
        <f t="shared" si="25"/>
        <v>1375.6304979895147</v>
      </c>
      <c r="AQ44" s="170">
        <f t="shared" si="25"/>
        <v>1745.497165233025</v>
      </c>
      <c r="AR44" s="171">
        <f t="shared" si="25"/>
        <v>1726.5744939510048</v>
      </c>
    </row>
    <row r="45" spans="1:44" ht="16.5" thickBot="1" x14ac:dyDescent="0.3">
      <c r="B45" s="168" t="s">
        <v>129</v>
      </c>
      <c r="C45" s="170">
        <f t="shared" si="13"/>
        <v>96967.450331707718</v>
      </c>
      <c r="D45" s="170">
        <f t="shared" si="13"/>
        <v>95736.003218733415</v>
      </c>
      <c r="E45" s="170">
        <f t="shared" si="13"/>
        <v>100815.40630706442</v>
      </c>
      <c r="F45" s="170">
        <f t="shared" si="13"/>
        <v>109202.89012278471</v>
      </c>
      <c r="G45" s="170">
        <f t="shared" si="13"/>
        <v>125400.53282648913</v>
      </c>
      <c r="H45" s="171">
        <f t="shared" si="13"/>
        <v>138655.61707919999</v>
      </c>
      <c r="I45" s="82"/>
      <c r="J45" s="82"/>
      <c r="K45" s="192" t="s">
        <v>129</v>
      </c>
      <c r="L45" s="170">
        <f t="shared" si="14"/>
        <v>5.1035500174583008</v>
      </c>
      <c r="M45" s="170">
        <f t="shared" si="14"/>
        <v>5.0387370115122856</v>
      </c>
      <c r="N45" s="170">
        <f t="shared" si="14"/>
        <v>5.3060740161612845</v>
      </c>
      <c r="O45" s="170">
        <f t="shared" si="14"/>
        <v>5.7475205327781422</v>
      </c>
      <c r="P45" s="170">
        <f t="shared" si="14"/>
        <v>6.6000280434994272</v>
      </c>
      <c r="Q45" s="171">
        <f t="shared" si="14"/>
        <v>7.2976640568000004</v>
      </c>
      <c r="R45" s="82"/>
      <c r="S45" s="82"/>
      <c r="T45" s="192" t="s">
        <v>129</v>
      </c>
      <c r="U45" s="170">
        <f t="shared" si="15"/>
        <v>5.1035500174583008</v>
      </c>
      <c r="V45" s="170">
        <f t="shared" si="15"/>
        <v>5.0387370115122856</v>
      </c>
      <c r="W45" s="170">
        <f t="shared" si="15"/>
        <v>5.3060740161612845</v>
      </c>
      <c r="X45" s="170">
        <f t="shared" si="15"/>
        <v>5.7475205327781422</v>
      </c>
      <c r="Y45" s="170">
        <f t="shared" si="15"/>
        <v>6.6000280434994272</v>
      </c>
      <c r="Z45" s="171">
        <f t="shared" si="15"/>
        <v>7.2976640568000004</v>
      </c>
      <c r="AA45" s="82"/>
      <c r="AB45" s="82"/>
      <c r="AC45" s="192" t="s">
        <v>129</v>
      </c>
      <c r="AD45" s="170">
        <f t="shared" ref="AD45:AI45" si="26">AD11*1/4+AE11*3/4</f>
        <v>98656.725387486396</v>
      </c>
      <c r="AE45" s="170">
        <f t="shared" si="26"/>
        <v>97403.825169543983</v>
      </c>
      <c r="AF45" s="170">
        <f t="shared" si="26"/>
        <v>102571.71680641381</v>
      </c>
      <c r="AG45" s="170">
        <f t="shared" si="26"/>
        <v>111105.31941913426</v>
      </c>
      <c r="AH45" s="170">
        <f t="shared" si="26"/>
        <v>127585.14210888743</v>
      </c>
      <c r="AI45" s="171">
        <f t="shared" si="26"/>
        <v>141071.14388200079</v>
      </c>
      <c r="AJ45" s="82"/>
      <c r="AL45" s="192" t="s">
        <v>129</v>
      </c>
      <c r="AM45" s="170">
        <f t="shared" ref="AM45:AR45" si="27">AM11*1/4+AN11*3/4</f>
        <v>31255.435430876754</v>
      </c>
      <c r="AN45" s="170">
        <f t="shared" si="27"/>
        <v>30858.504134916697</v>
      </c>
      <c r="AO45" s="170">
        <f t="shared" si="27"/>
        <v>32495.743793293201</v>
      </c>
      <c r="AP45" s="170">
        <f t="shared" si="27"/>
        <v>35199.274286597771</v>
      </c>
      <c r="AQ45" s="170">
        <f t="shared" si="27"/>
        <v>40420.246622430153</v>
      </c>
      <c r="AR45" s="171">
        <f t="shared" si="27"/>
        <v>44692.746606437307</v>
      </c>
    </row>
    <row r="46" spans="1:44" ht="16.5" thickBot="1" x14ac:dyDescent="0.3">
      <c r="B46" s="177" t="s">
        <v>4</v>
      </c>
      <c r="C46" s="183">
        <f t="shared" si="13"/>
        <v>137726.11199174906</v>
      </c>
      <c r="D46" s="183">
        <f t="shared" si="13"/>
        <v>139863.86651260458</v>
      </c>
      <c r="E46" s="183">
        <f t="shared" si="13"/>
        <v>150114.20911645942</v>
      </c>
      <c r="F46" s="183">
        <f t="shared" si="13"/>
        <v>163494.1810612547</v>
      </c>
      <c r="G46" s="183">
        <f t="shared" si="13"/>
        <v>183672.12423758412</v>
      </c>
      <c r="H46" s="184">
        <f t="shared" si="13"/>
        <v>198429.26279420999</v>
      </c>
      <c r="I46" s="82"/>
      <c r="J46" s="82"/>
      <c r="K46" s="194" t="s">
        <v>4</v>
      </c>
      <c r="L46" s="183">
        <f t="shared" si="14"/>
        <v>23.746888899155977</v>
      </c>
      <c r="M46" s="183">
        <f t="shared" si="14"/>
        <v>25.461225552383468</v>
      </c>
      <c r="N46" s="183">
        <f t="shared" si="14"/>
        <v>29.047397754936277</v>
      </c>
      <c r="O46" s="183">
        <f t="shared" si="14"/>
        <v>32.363094726803141</v>
      </c>
      <c r="P46" s="183">
        <f t="shared" si="14"/>
        <v>36.028177722149422</v>
      </c>
      <c r="Q46" s="184">
        <f t="shared" si="14"/>
        <v>37.708571321499996</v>
      </c>
      <c r="R46" s="82"/>
      <c r="S46" s="82"/>
      <c r="T46" s="194" t="s">
        <v>4</v>
      </c>
      <c r="U46" s="183">
        <f t="shared" si="15"/>
        <v>7.0142195510869643</v>
      </c>
      <c r="V46" s="183">
        <f t="shared" si="15"/>
        <v>7.1115582587638455</v>
      </c>
      <c r="W46" s="183">
        <f t="shared" si="15"/>
        <v>7.6240436716762847</v>
      </c>
      <c r="X46" s="183">
        <f t="shared" si="15"/>
        <v>8.3002050877931399</v>
      </c>
      <c r="Y46" s="183">
        <f t="shared" si="15"/>
        <v>9.3442740573994261</v>
      </c>
      <c r="Z46" s="184">
        <f t="shared" si="15"/>
        <v>10.10668883932</v>
      </c>
      <c r="AA46" s="82"/>
      <c r="AB46" s="82"/>
      <c r="AC46" s="194" t="s">
        <v>4</v>
      </c>
      <c r="AD46" s="183">
        <f t="shared" ref="AD46:AI46" si="28">AD12*1/4+AE12*3/4</f>
        <v>140399.20471946828</v>
      </c>
      <c r="AE46" s="183">
        <f t="shared" si="28"/>
        <v>142603.13530942146</v>
      </c>
      <c r="AF46" s="183">
        <f t="shared" si="28"/>
        <v>153087.65800753271</v>
      </c>
      <c r="AG46" s="183">
        <f t="shared" si="28"/>
        <v>166746.86962773342</v>
      </c>
      <c r="AH46" s="183">
        <f t="shared" si="28"/>
        <v>187325.4409275431</v>
      </c>
      <c r="AI46" s="184">
        <f t="shared" si="28"/>
        <v>202354.21633215068</v>
      </c>
      <c r="AJ46" s="82"/>
      <c r="AL46" s="194" t="s">
        <v>4</v>
      </c>
      <c r="AM46" s="196">
        <f t="shared" ref="AM46:AR46" si="29">AM12*1/4+AN12*3/4</f>
        <v>45300.37300798278</v>
      </c>
      <c r="AN46" s="183">
        <f t="shared" si="29"/>
        <v>46079.075255606716</v>
      </c>
      <c r="AO46" s="183">
        <f t="shared" si="29"/>
        <v>49559.735093074254</v>
      </c>
      <c r="AP46" s="183">
        <f t="shared" si="29"/>
        <v>54019.839535807972</v>
      </c>
      <c r="AQ46" s="183">
        <f t="shared" si="29"/>
        <v>60678.121993185508</v>
      </c>
      <c r="AR46" s="184">
        <f t="shared" si="29"/>
        <v>65481.364569020698</v>
      </c>
    </row>
    <row r="47" spans="1:44" x14ac:dyDescent="0.25">
      <c r="B47" s="168"/>
      <c r="C47" s="170"/>
      <c r="D47" s="170"/>
      <c r="E47" s="170"/>
      <c r="F47" s="170"/>
      <c r="G47" s="170"/>
      <c r="H47" s="171"/>
      <c r="I47" s="82"/>
      <c r="J47" s="82"/>
      <c r="K47" s="192"/>
      <c r="L47" s="170"/>
      <c r="M47" s="170"/>
      <c r="N47" s="170"/>
      <c r="O47" s="170"/>
      <c r="P47" s="170"/>
      <c r="Q47" s="171"/>
      <c r="R47" s="82"/>
      <c r="S47" s="82"/>
      <c r="T47" s="192"/>
      <c r="U47" s="170"/>
      <c r="V47" s="170"/>
      <c r="W47" s="170"/>
      <c r="X47" s="170"/>
      <c r="Y47" s="170"/>
      <c r="Z47" s="171"/>
      <c r="AA47" s="82"/>
      <c r="AB47" s="82"/>
      <c r="AC47" s="192"/>
      <c r="AD47" s="170"/>
      <c r="AE47" s="170"/>
      <c r="AF47" s="170"/>
      <c r="AG47" s="170"/>
      <c r="AH47" s="170"/>
      <c r="AI47" s="171"/>
      <c r="AJ47" s="82"/>
      <c r="AL47" s="192"/>
      <c r="AM47" s="170"/>
      <c r="AN47" s="170"/>
      <c r="AO47" s="170"/>
      <c r="AP47" s="170"/>
      <c r="AQ47" s="170"/>
      <c r="AR47" s="171"/>
    </row>
    <row r="48" spans="1:44" x14ac:dyDescent="0.25">
      <c r="B48" s="177" t="s">
        <v>32</v>
      </c>
      <c r="C48" s="178">
        <v>2007</v>
      </c>
      <c r="D48" s="178">
        <v>2008</v>
      </c>
      <c r="E48" s="178">
        <v>2009</v>
      </c>
      <c r="F48" s="178">
        <v>2010</v>
      </c>
      <c r="G48" s="178">
        <v>2011</v>
      </c>
      <c r="H48" s="179">
        <v>2012</v>
      </c>
      <c r="J48" s="82"/>
      <c r="K48" s="194" t="s">
        <v>32</v>
      </c>
      <c r="L48" s="178">
        <v>2007</v>
      </c>
      <c r="M48" s="178">
        <v>2008</v>
      </c>
      <c r="N48" s="178">
        <v>2009</v>
      </c>
      <c r="O48" s="178">
        <v>2010</v>
      </c>
      <c r="P48" s="178">
        <v>2011</v>
      </c>
      <c r="Q48" s="179">
        <v>2012</v>
      </c>
      <c r="S48" s="82"/>
      <c r="T48" s="194" t="s">
        <v>32</v>
      </c>
      <c r="U48" s="178">
        <v>2007</v>
      </c>
      <c r="V48" s="178">
        <v>2008</v>
      </c>
      <c r="W48" s="178">
        <v>2009</v>
      </c>
      <c r="X48" s="178">
        <v>2010</v>
      </c>
      <c r="Y48" s="178">
        <v>2011</v>
      </c>
      <c r="Z48" s="179">
        <v>2012</v>
      </c>
      <c r="AB48" s="82"/>
      <c r="AC48" s="194" t="s">
        <v>32</v>
      </c>
      <c r="AD48" s="178">
        <v>2007</v>
      </c>
      <c r="AE48" s="178">
        <v>2008</v>
      </c>
      <c r="AF48" s="178">
        <v>2009</v>
      </c>
      <c r="AG48" s="178">
        <v>2010</v>
      </c>
      <c r="AH48" s="178">
        <v>2011</v>
      </c>
      <c r="AI48" s="179">
        <v>2012</v>
      </c>
      <c r="AL48" s="194" t="s">
        <v>32</v>
      </c>
      <c r="AM48" s="178">
        <v>2007</v>
      </c>
      <c r="AN48" s="178">
        <v>2008</v>
      </c>
      <c r="AO48" s="178">
        <v>2009</v>
      </c>
      <c r="AP48" s="178">
        <v>2010</v>
      </c>
      <c r="AQ48" s="178">
        <v>2011</v>
      </c>
      <c r="AR48" s="179">
        <v>2012</v>
      </c>
    </row>
    <row r="49" spans="2:44" x14ac:dyDescent="0.25">
      <c r="B49" s="168" t="s">
        <v>37</v>
      </c>
      <c r="C49" s="170">
        <f>C15*1/4+D15*3/4</f>
        <v>6324.1710219716369</v>
      </c>
      <c r="D49" s="170">
        <f t="shared" ref="D49:H49" si="30">D15*1/4+E15*3/4</f>
        <v>6798.1861252499993</v>
      </c>
      <c r="E49" s="170">
        <f t="shared" si="30"/>
        <v>7127.9203807499989</v>
      </c>
      <c r="F49" s="170">
        <f t="shared" si="30"/>
        <v>7466.5523789999988</v>
      </c>
      <c r="G49" s="170">
        <f t="shared" si="30"/>
        <v>7693.8470895000009</v>
      </c>
      <c r="H49" s="171">
        <f t="shared" si="30"/>
        <v>8000.9506492500004</v>
      </c>
      <c r="I49" s="82"/>
      <c r="J49" s="82"/>
      <c r="K49" s="192" t="s">
        <v>37</v>
      </c>
      <c r="L49" s="170">
        <f>L15*1/4+M15*3/4</f>
        <v>0.35418771580542913</v>
      </c>
      <c r="M49" s="170">
        <f t="shared" ref="M49:Q49" si="31">M15*1/4+N15*3/4</f>
        <v>0.38073512037500001</v>
      </c>
      <c r="N49" s="170">
        <f t="shared" si="31"/>
        <v>0.39920201862500004</v>
      </c>
      <c r="O49" s="170">
        <f t="shared" si="31"/>
        <v>0.41816723850000009</v>
      </c>
      <c r="P49" s="170">
        <f t="shared" si="31"/>
        <v>0.43089696925000004</v>
      </c>
      <c r="Q49" s="171">
        <f t="shared" si="31"/>
        <v>0.44809642637500002</v>
      </c>
      <c r="R49" s="82"/>
      <c r="S49" s="82"/>
      <c r="T49" s="192" t="s">
        <v>37</v>
      </c>
      <c r="U49" s="170">
        <f>U15*1/4+V15*3/4</f>
        <v>2.4409081137434394</v>
      </c>
      <c r="V49" s="170">
        <f t="shared" ref="V49:Z49" si="32">V15*1/4+W15*3/4</f>
        <v>2.6238613114999998</v>
      </c>
      <c r="W49" s="170">
        <f t="shared" si="32"/>
        <v>2.7511271645000002</v>
      </c>
      <c r="X49" s="170">
        <f t="shared" si="32"/>
        <v>2.8818272340000002</v>
      </c>
      <c r="Y49" s="170">
        <f t="shared" si="32"/>
        <v>2.9695550170000002</v>
      </c>
      <c r="Z49" s="171">
        <f t="shared" si="32"/>
        <v>3.0880862155000006</v>
      </c>
      <c r="AA49" s="82"/>
      <c r="AB49" s="82"/>
      <c r="AC49" s="192" t="s">
        <v>37</v>
      </c>
      <c r="AD49" s="170">
        <f>AD15*1/4+AE15*3/4</f>
        <v>7088.2904792640174</v>
      </c>
      <c r="AE49" s="170">
        <f t="shared" ref="AE49:AI49" si="33">AE15*1/4+AF15*3/4</f>
        <v>7619.5785693428743</v>
      </c>
      <c r="AF49" s="170">
        <f t="shared" si="33"/>
        <v>7989.1530441361228</v>
      </c>
      <c r="AG49" s="170">
        <f t="shared" si="33"/>
        <v>8368.7003335484987</v>
      </c>
      <c r="AH49" s="170">
        <f t="shared" si="33"/>
        <v>8623.4579811242511</v>
      </c>
      <c r="AI49" s="171">
        <f t="shared" si="33"/>
        <v>8967.6674010088755</v>
      </c>
      <c r="AJ49" s="82"/>
      <c r="AL49" s="192" t="s">
        <v>37</v>
      </c>
      <c r="AM49" s="170">
        <f>AM15*1/4+AN15*3/4</f>
        <v>2038.4646430826215</v>
      </c>
      <c r="AN49" s="170">
        <f t="shared" ref="AN49:AR49" si="34">AN15*1/4+AO15*3/4</f>
        <v>2191.2535263944542</v>
      </c>
      <c r="AO49" s="170">
        <f t="shared" si="34"/>
        <v>2297.5364872939476</v>
      </c>
      <c r="AP49" s="170">
        <f t="shared" si="34"/>
        <v>2406.6874500131435</v>
      </c>
      <c r="AQ49" s="170">
        <f t="shared" si="34"/>
        <v>2479.9511598818717</v>
      </c>
      <c r="AR49" s="171">
        <f t="shared" si="34"/>
        <v>2578.9395879525623</v>
      </c>
    </row>
    <row r="50" spans="2:44" x14ac:dyDescent="0.25">
      <c r="B50" s="168" t="s">
        <v>40</v>
      </c>
      <c r="C50" s="170">
        <f t="shared" ref="C50:H54" si="35">C16*1/4+D16*3/4</f>
        <v>7.6365507514992501</v>
      </c>
      <c r="D50" s="170">
        <f t="shared" si="35"/>
        <v>6.9620654999999996</v>
      </c>
      <c r="E50" s="170">
        <f t="shared" si="35"/>
        <v>5.9504152499999998</v>
      </c>
      <c r="F50" s="170">
        <f t="shared" si="35"/>
        <v>4.0943954999999992</v>
      </c>
      <c r="G50" s="170">
        <f t="shared" si="35"/>
        <v>2.8756357499999994</v>
      </c>
      <c r="H50" s="171">
        <f t="shared" si="35"/>
        <v>2.8119097499999999</v>
      </c>
      <c r="I50" s="82"/>
      <c r="J50" s="82"/>
      <c r="K50" s="192" t="s">
        <v>40</v>
      </c>
      <c r="L50" s="170">
        <f t="shared" ref="L50:Q54" si="36">L16*1/4+M16*3/4</f>
        <v>1.0305736506746625E-3</v>
      </c>
      <c r="M50" s="170">
        <f t="shared" si="36"/>
        <v>9.3954999999999993E-4</v>
      </c>
      <c r="N50" s="170">
        <f t="shared" si="36"/>
        <v>8.0302499999999996E-4</v>
      </c>
      <c r="O50" s="170">
        <f t="shared" si="36"/>
        <v>5.5254999999999996E-4</v>
      </c>
      <c r="P50" s="170">
        <f t="shared" si="36"/>
        <v>3.8807499999999999E-4</v>
      </c>
      <c r="Q50" s="171">
        <f t="shared" si="36"/>
        <v>3.7947499999999999E-4</v>
      </c>
      <c r="R50" s="82"/>
      <c r="S50" s="82"/>
      <c r="T50" s="192" t="s">
        <v>40</v>
      </c>
      <c r="U50" s="170">
        <f t="shared" ref="U50:Z54" si="37">U16*1/4+V16*3/4</f>
        <v>6.1834419040479756E-5</v>
      </c>
      <c r="V50" s="170">
        <f t="shared" si="37"/>
        <v>5.6372999999999997E-5</v>
      </c>
      <c r="W50" s="170">
        <f t="shared" si="37"/>
        <v>4.8181499999999999E-5</v>
      </c>
      <c r="X50" s="170">
        <f t="shared" si="37"/>
        <v>3.3152999999999999E-5</v>
      </c>
      <c r="Y50" s="170">
        <f t="shared" si="37"/>
        <v>2.32845E-5</v>
      </c>
      <c r="Z50" s="171">
        <f t="shared" si="37"/>
        <v>2.2768500000000001E-5</v>
      </c>
      <c r="AA50" s="82"/>
      <c r="AB50" s="82"/>
      <c r="AC50" s="192" t="s">
        <v>40</v>
      </c>
      <c r="AD50" s="170">
        <f t="shared" ref="AD50:AI54" si="38">AD16*1/4+AE16*3/4</f>
        <v>7.6773614680659659</v>
      </c>
      <c r="AE50" s="170">
        <f t="shared" si="38"/>
        <v>6.9992716799999988</v>
      </c>
      <c r="AF50" s="170">
        <f t="shared" si="38"/>
        <v>5.9822150399999998</v>
      </c>
      <c r="AG50" s="170">
        <f t="shared" si="38"/>
        <v>4.1162764799999998</v>
      </c>
      <c r="AH50" s="170">
        <f t="shared" si="38"/>
        <v>2.891003519999999</v>
      </c>
      <c r="AI50" s="171">
        <f t="shared" si="38"/>
        <v>2.8269369599999998</v>
      </c>
      <c r="AJ50" s="82"/>
      <c r="AL50" s="192" t="s">
        <v>40</v>
      </c>
      <c r="AM50" s="170">
        <f t="shared" ref="AM50:AR50" si="39">AM16*1/4+AN16*3/4</f>
        <v>2.4614828801995445</v>
      </c>
      <c r="AN50" s="170">
        <f t="shared" si="39"/>
        <v>2.2440766252634998</v>
      </c>
      <c r="AO50" s="170">
        <f t="shared" si="39"/>
        <v>1.91799226438425</v>
      </c>
      <c r="AP50" s="170">
        <f t="shared" si="39"/>
        <v>1.3197430038735001</v>
      </c>
      <c r="AQ50" s="170">
        <f t="shared" si="39"/>
        <v>0.92690121478275</v>
      </c>
      <c r="AR50" s="171">
        <f t="shared" si="39"/>
        <v>0.90636046764074996</v>
      </c>
    </row>
    <row r="51" spans="2:44" x14ac:dyDescent="0.25">
      <c r="B51" s="168" t="s">
        <v>33</v>
      </c>
      <c r="C51" s="170">
        <f t="shared" si="35"/>
        <v>2.7296766000164405</v>
      </c>
      <c r="D51" s="170">
        <f t="shared" si="35"/>
        <v>2.4697813249999996</v>
      </c>
      <c r="E51" s="170">
        <f t="shared" si="35"/>
        <v>2.2907035250000001</v>
      </c>
      <c r="F51" s="170">
        <f t="shared" si="35"/>
        <v>2.6488591249999995</v>
      </c>
      <c r="G51" s="170">
        <f t="shared" si="35"/>
        <v>2.574243375</v>
      </c>
      <c r="H51" s="171">
        <f t="shared" si="35"/>
        <v>2.3727808499999998</v>
      </c>
      <c r="I51" s="82"/>
      <c r="J51" s="82"/>
      <c r="K51" s="192" t="s">
        <v>33</v>
      </c>
      <c r="L51" s="170">
        <f t="shared" si="36"/>
        <v>2.6820911125359638E-3</v>
      </c>
      <c r="M51" s="170">
        <f t="shared" si="36"/>
        <v>2.4267264999999999E-3</v>
      </c>
      <c r="N51" s="170">
        <f t="shared" si="36"/>
        <v>2.2507704999999998E-3</v>
      </c>
      <c r="O51" s="170">
        <f t="shared" si="36"/>
        <v>2.6026825E-3</v>
      </c>
      <c r="P51" s="170">
        <f t="shared" si="36"/>
        <v>2.5293675E-3</v>
      </c>
      <c r="Q51" s="171">
        <f t="shared" si="36"/>
        <v>2.3314169999999997E-3</v>
      </c>
      <c r="R51" s="82"/>
      <c r="S51" s="82"/>
      <c r="T51" s="192" t="s">
        <v>33</v>
      </c>
      <c r="U51" s="170">
        <f t="shared" si="37"/>
        <v>8.651906814632142E-6</v>
      </c>
      <c r="V51" s="170">
        <f t="shared" si="37"/>
        <v>7.8281500000000006E-6</v>
      </c>
      <c r="W51" s="170">
        <f t="shared" si="37"/>
        <v>7.2605500000000003E-6</v>
      </c>
      <c r="X51" s="170">
        <f t="shared" si="37"/>
        <v>8.3957500000000017E-6</v>
      </c>
      <c r="Y51" s="170">
        <f t="shared" si="37"/>
        <v>8.1592499999999998E-6</v>
      </c>
      <c r="Z51" s="171">
        <f t="shared" si="37"/>
        <v>7.5207000000000007E-6</v>
      </c>
      <c r="AA51" s="82"/>
      <c r="AB51" s="82"/>
      <c r="AC51" s="192" t="s">
        <v>33</v>
      </c>
      <c r="AD51" s="170">
        <f t="shared" si="38"/>
        <v>2.7886826044922319</v>
      </c>
      <c r="AE51" s="170">
        <f t="shared" si="38"/>
        <v>2.5231693079999999</v>
      </c>
      <c r="AF51" s="170">
        <f t="shared" si="38"/>
        <v>2.3402204759999998</v>
      </c>
      <c r="AG51" s="170">
        <f t="shared" si="38"/>
        <v>2.7061181399999996</v>
      </c>
      <c r="AH51" s="170">
        <f t="shared" si="38"/>
        <v>2.6298894599999998</v>
      </c>
      <c r="AI51" s="171">
        <f t="shared" si="38"/>
        <v>2.424072024</v>
      </c>
      <c r="AJ51" s="82"/>
      <c r="AL51" s="192" t="s">
        <v>33</v>
      </c>
      <c r="AM51" s="170">
        <f t="shared" ref="AM51:AR51" si="40">AM17*1/4+AN17*3/4</f>
        <v>1.033236221950613</v>
      </c>
      <c r="AN51" s="170">
        <f t="shared" si="40"/>
        <v>0.93486075430027493</v>
      </c>
      <c r="AO51" s="170">
        <f t="shared" si="40"/>
        <v>0.86707628873167508</v>
      </c>
      <c r="AP51" s="170">
        <f t="shared" si="40"/>
        <v>1.0026452198688749</v>
      </c>
      <c r="AQ51" s="170">
        <f t="shared" si="40"/>
        <v>0.97440169254862496</v>
      </c>
      <c r="AR51" s="171">
        <f t="shared" si="40"/>
        <v>0.89814416878394998</v>
      </c>
    </row>
    <row r="52" spans="2:44" x14ac:dyDescent="0.25">
      <c r="B52" s="168" t="s">
        <v>41</v>
      </c>
      <c r="C52" s="170">
        <f t="shared" si="35"/>
        <v>0</v>
      </c>
      <c r="D52" s="170">
        <f t="shared" si="35"/>
        <v>9.2154665250000001</v>
      </c>
      <c r="E52" s="170">
        <f t="shared" si="35"/>
        <v>10.350874214999999</v>
      </c>
      <c r="F52" s="170">
        <f t="shared" si="35"/>
        <v>11.501835435000002</v>
      </c>
      <c r="G52" s="170">
        <f t="shared" si="35"/>
        <v>10.910801295000001</v>
      </c>
      <c r="H52" s="171">
        <f t="shared" si="35"/>
        <v>8.6944232700000015</v>
      </c>
      <c r="I52" s="82"/>
      <c r="J52" s="82"/>
      <c r="K52" s="192" t="s">
        <v>41</v>
      </c>
      <c r="L52" s="170">
        <f t="shared" si="36"/>
        <v>0</v>
      </c>
      <c r="M52" s="170">
        <f t="shared" si="36"/>
        <v>3.5718862499999998E-4</v>
      </c>
      <c r="N52" s="170">
        <f t="shared" si="36"/>
        <v>4.01196675E-4</v>
      </c>
      <c r="O52" s="170">
        <f t="shared" si="36"/>
        <v>4.4580757499999992E-4</v>
      </c>
      <c r="P52" s="170">
        <f t="shared" si="36"/>
        <v>4.22899275E-4</v>
      </c>
      <c r="Q52" s="171">
        <f t="shared" si="36"/>
        <v>3.3699315E-4</v>
      </c>
      <c r="R52" s="82"/>
      <c r="S52" s="82"/>
      <c r="T52" s="192" t="s">
        <v>41</v>
      </c>
      <c r="U52" s="170">
        <f t="shared" si="37"/>
        <v>0</v>
      </c>
      <c r="V52" s="170">
        <f t="shared" si="37"/>
        <v>7.143772499999999E-5</v>
      </c>
      <c r="W52" s="170">
        <f t="shared" si="37"/>
        <v>8.0239334999999992E-5</v>
      </c>
      <c r="X52" s="170">
        <f t="shared" si="37"/>
        <v>8.9161514999999998E-5</v>
      </c>
      <c r="Y52" s="170">
        <f t="shared" si="37"/>
        <v>8.4579855000000003E-5</v>
      </c>
      <c r="Z52" s="171">
        <f t="shared" si="37"/>
        <v>6.7398629999999997E-5</v>
      </c>
      <c r="AA52" s="82"/>
      <c r="AB52" s="82"/>
      <c r="AC52" s="192" t="s">
        <v>41</v>
      </c>
      <c r="AD52" s="170">
        <f t="shared" si="38"/>
        <v>0</v>
      </c>
      <c r="AE52" s="170">
        <f t="shared" si="38"/>
        <v>9.2451131808749984</v>
      </c>
      <c r="AF52" s="170">
        <f t="shared" si="38"/>
        <v>10.384173539024999</v>
      </c>
      <c r="AG52" s="170">
        <f t="shared" si="38"/>
        <v>11.538837463725001</v>
      </c>
      <c r="AH52" s="170">
        <f t="shared" si="38"/>
        <v>10.945901934825002</v>
      </c>
      <c r="AI52" s="171">
        <f t="shared" si="38"/>
        <v>8.7223937014500006</v>
      </c>
      <c r="AJ52" s="82"/>
      <c r="AL52" s="192" t="s">
        <v>41</v>
      </c>
      <c r="AM52" s="170">
        <f t="shared" ref="AM52:AR52" si="41">AM18*1/4+AN18*3/4</f>
        <v>0</v>
      </c>
      <c r="AN52" s="170">
        <f t="shared" si="41"/>
        <v>2.8437679178773871</v>
      </c>
      <c r="AO52" s="170">
        <f t="shared" si="41"/>
        <v>3.194139323793082</v>
      </c>
      <c r="AP52" s="170">
        <f t="shared" si="41"/>
        <v>3.5493103380089925</v>
      </c>
      <c r="AQ52" s="170">
        <f t="shared" si="41"/>
        <v>3.3669252226008224</v>
      </c>
      <c r="AR52" s="171">
        <f t="shared" si="41"/>
        <v>2.6829810398201852</v>
      </c>
    </row>
    <row r="53" spans="2:44" x14ac:dyDescent="0.25">
      <c r="B53" s="168" t="s">
        <v>75</v>
      </c>
      <c r="C53" s="170">
        <f t="shared" si="35"/>
        <v>5.5303598999999997</v>
      </c>
      <c r="D53" s="170">
        <f t="shared" si="35"/>
        <v>4.1477699249999995</v>
      </c>
      <c r="E53" s="170">
        <f t="shared" si="35"/>
        <v>3.6869065999999999</v>
      </c>
      <c r="F53" s="170">
        <f t="shared" si="35"/>
        <v>2.3043166249999998</v>
      </c>
      <c r="G53" s="170">
        <f t="shared" si="35"/>
        <v>1.8434533</v>
      </c>
      <c r="H53" s="171">
        <f t="shared" si="35"/>
        <v>1.8434533</v>
      </c>
      <c r="I53" s="82"/>
      <c r="J53" s="82"/>
      <c r="K53" s="192" t="s">
        <v>75</v>
      </c>
      <c r="L53" s="170">
        <f t="shared" si="36"/>
        <v>1.1778E-4</v>
      </c>
      <c r="M53" s="170">
        <f t="shared" si="36"/>
        <v>8.8335E-5</v>
      </c>
      <c r="N53" s="170">
        <f t="shared" si="36"/>
        <v>7.852E-5</v>
      </c>
      <c r="O53" s="170">
        <f t="shared" si="36"/>
        <v>4.9075E-5</v>
      </c>
      <c r="P53" s="170">
        <f t="shared" si="36"/>
        <v>3.926E-5</v>
      </c>
      <c r="Q53" s="171">
        <f t="shared" si="36"/>
        <v>3.926E-5</v>
      </c>
      <c r="R53" s="82"/>
      <c r="S53" s="82"/>
      <c r="T53" s="192" t="s">
        <v>75</v>
      </c>
      <c r="U53" s="170">
        <f t="shared" si="37"/>
        <v>8.8335000000000014E-5</v>
      </c>
      <c r="V53" s="170">
        <f t="shared" si="37"/>
        <v>6.6251250000000004E-5</v>
      </c>
      <c r="W53" s="170">
        <f t="shared" si="37"/>
        <v>5.889E-5</v>
      </c>
      <c r="X53" s="170">
        <f t="shared" si="37"/>
        <v>3.6806250000000004E-5</v>
      </c>
      <c r="Y53" s="170">
        <f t="shared" si="37"/>
        <v>2.9445E-5</v>
      </c>
      <c r="Z53" s="171">
        <f t="shared" si="37"/>
        <v>2.9445E-5</v>
      </c>
      <c r="AA53" s="82"/>
      <c r="AB53" s="82"/>
      <c r="AC53" s="192" t="s">
        <v>75</v>
      </c>
      <c r="AD53" s="170">
        <f t="shared" si="38"/>
        <v>5.560217129999999</v>
      </c>
      <c r="AE53" s="170">
        <f t="shared" si="38"/>
        <v>4.1701628474999994</v>
      </c>
      <c r="AF53" s="170">
        <f t="shared" si="38"/>
        <v>3.7068114200000002</v>
      </c>
      <c r="AG53" s="170">
        <f t="shared" si="38"/>
        <v>2.3167571374999998</v>
      </c>
      <c r="AH53" s="170">
        <f t="shared" si="38"/>
        <v>1.8534057100000001</v>
      </c>
      <c r="AI53" s="171">
        <f t="shared" si="38"/>
        <v>1.8534057100000001</v>
      </c>
      <c r="AJ53" s="82"/>
      <c r="AL53" s="192" t="s">
        <v>75</v>
      </c>
      <c r="AM53" s="170">
        <f t="shared" ref="AM53:AR53" si="42">AM19*1/4+AN19*3/4</f>
        <v>2592.9341025678718</v>
      </c>
      <c r="AN53" s="170">
        <f t="shared" si="42"/>
        <v>1944.700576925904</v>
      </c>
      <c r="AO53" s="170">
        <f t="shared" si="42"/>
        <v>1728.6227350452482</v>
      </c>
      <c r="AP53" s="170">
        <f t="shared" si="42"/>
        <v>1080.3892094032801</v>
      </c>
      <c r="AQ53" s="170">
        <f t="shared" si="42"/>
        <v>864.3113675226241</v>
      </c>
      <c r="AR53" s="171">
        <f t="shared" si="42"/>
        <v>864.3113675226241</v>
      </c>
    </row>
    <row r="54" spans="2:44" x14ac:dyDescent="0.25">
      <c r="B54" s="177" t="s">
        <v>4</v>
      </c>
      <c r="C54" s="183">
        <f t="shared" si="35"/>
        <v>6340.0676092231524</v>
      </c>
      <c r="D54" s="183">
        <f t="shared" si="35"/>
        <v>6820.9812085249987</v>
      </c>
      <c r="E54" s="183">
        <f t="shared" si="35"/>
        <v>7150.1992803399989</v>
      </c>
      <c r="F54" s="183">
        <f t="shared" si="35"/>
        <v>7487.1017856850003</v>
      </c>
      <c r="G54" s="183">
        <f t="shared" si="35"/>
        <v>7712.0512232199999</v>
      </c>
      <c r="H54" s="184">
        <f t="shared" si="35"/>
        <v>8016.6732164200002</v>
      </c>
      <c r="I54" s="82"/>
      <c r="J54" s="82"/>
      <c r="K54" s="194" t="s">
        <v>4</v>
      </c>
      <c r="L54" s="183">
        <f t="shared" si="36"/>
        <v>0.35801816056863978</v>
      </c>
      <c r="M54" s="183">
        <f t="shared" si="36"/>
        <v>0.38454692050000006</v>
      </c>
      <c r="N54" s="183">
        <f t="shared" si="36"/>
        <v>0.40273553080000007</v>
      </c>
      <c r="O54" s="183">
        <f t="shared" si="36"/>
        <v>0.42181735357500005</v>
      </c>
      <c r="P54" s="183">
        <f t="shared" si="36"/>
        <v>0.43427657102500006</v>
      </c>
      <c r="Q54" s="184">
        <f t="shared" si="36"/>
        <v>0.45118357152499999</v>
      </c>
      <c r="R54" s="82"/>
      <c r="S54" s="82"/>
      <c r="T54" s="194" t="s">
        <v>4</v>
      </c>
      <c r="U54" s="183">
        <f t="shared" si="37"/>
        <v>2.4410669350692946</v>
      </c>
      <c r="V54" s="183">
        <f t="shared" si="37"/>
        <v>2.6240632016249998</v>
      </c>
      <c r="W54" s="183">
        <f t="shared" si="37"/>
        <v>2.7513217358849995</v>
      </c>
      <c r="X54" s="183">
        <f t="shared" si="37"/>
        <v>2.8819947505150001</v>
      </c>
      <c r="Y54" s="183">
        <f t="shared" si="37"/>
        <v>2.9697004856050002</v>
      </c>
      <c r="Z54" s="184">
        <f t="shared" si="37"/>
        <v>3.0882133483300001</v>
      </c>
      <c r="AA54" s="82"/>
      <c r="AB54" s="82"/>
      <c r="AC54" s="194" t="s">
        <v>4</v>
      </c>
      <c r="AD54" s="183">
        <f t="shared" si="38"/>
        <v>7104.3167404665746</v>
      </c>
      <c r="AE54" s="183">
        <f t="shared" si="38"/>
        <v>7642.5162863592486</v>
      </c>
      <c r="AF54" s="183">
        <f t="shared" si="38"/>
        <v>8011.5664646111481</v>
      </c>
      <c r="AG54" s="183">
        <f t="shared" si="38"/>
        <v>8389.378322769724</v>
      </c>
      <c r="AH54" s="183">
        <f t="shared" si="38"/>
        <v>8641.7781817490759</v>
      </c>
      <c r="AI54" s="184">
        <f t="shared" si="38"/>
        <v>8983.4942094043254</v>
      </c>
      <c r="AJ54" s="82"/>
      <c r="AL54" s="194" t="s">
        <v>4</v>
      </c>
      <c r="AM54" s="183">
        <f t="shared" ref="AM54:AR54" si="43">AM20*1/4+AN20*3/4</f>
        <v>4634.8934647526439</v>
      </c>
      <c r="AN54" s="183">
        <f t="shared" si="43"/>
        <v>4141.9768086177992</v>
      </c>
      <c r="AO54" s="183">
        <f t="shared" si="43"/>
        <v>4032.138430216105</v>
      </c>
      <c r="AP54" s="183">
        <f t="shared" si="43"/>
        <v>3492.948357978175</v>
      </c>
      <c r="AQ54" s="183">
        <f t="shared" si="43"/>
        <v>3349.530755534428</v>
      </c>
      <c r="AR54" s="184">
        <f t="shared" si="43"/>
        <v>3447.7384411514313</v>
      </c>
    </row>
    <row r="55" spans="2:44" x14ac:dyDescent="0.25">
      <c r="B55" s="168"/>
      <c r="C55" s="170"/>
      <c r="D55" s="170"/>
      <c r="E55" s="170"/>
      <c r="F55" s="170"/>
      <c r="G55" s="170"/>
      <c r="H55" s="171"/>
      <c r="I55" s="82"/>
      <c r="J55" s="82"/>
      <c r="K55" s="192"/>
      <c r="L55" s="170"/>
      <c r="M55" s="170"/>
      <c r="N55" s="170"/>
      <c r="O55" s="170"/>
      <c r="P55" s="170"/>
      <c r="Q55" s="171"/>
      <c r="R55" s="82"/>
      <c r="S55" s="82"/>
      <c r="T55" s="192"/>
      <c r="U55" s="170"/>
      <c r="V55" s="170"/>
      <c r="W55" s="170"/>
      <c r="X55" s="170"/>
      <c r="Y55" s="170"/>
      <c r="Z55" s="184"/>
      <c r="AA55" s="82"/>
      <c r="AB55" s="82"/>
      <c r="AC55" s="192"/>
      <c r="AD55" s="170"/>
      <c r="AE55" s="170"/>
      <c r="AF55" s="170"/>
      <c r="AG55" s="170"/>
      <c r="AH55" s="170"/>
      <c r="AI55" s="171"/>
      <c r="AJ55" s="82"/>
      <c r="AL55" s="192"/>
      <c r="AM55" s="170"/>
      <c r="AN55" s="170"/>
      <c r="AO55" s="170"/>
      <c r="AP55" s="170"/>
      <c r="AQ55" s="170"/>
      <c r="AR55" s="171"/>
    </row>
    <row r="56" spans="2:44" x14ac:dyDescent="0.25">
      <c r="B56" s="177" t="s">
        <v>38</v>
      </c>
      <c r="C56" s="178">
        <v>2007</v>
      </c>
      <c r="D56" s="178">
        <v>2008</v>
      </c>
      <c r="E56" s="178">
        <v>2009</v>
      </c>
      <c r="F56" s="178">
        <v>2010</v>
      </c>
      <c r="G56" s="178">
        <v>2011</v>
      </c>
      <c r="H56" s="179">
        <v>2012</v>
      </c>
      <c r="J56" s="82"/>
      <c r="K56" s="194" t="s">
        <v>38</v>
      </c>
      <c r="L56" s="178">
        <v>2007</v>
      </c>
      <c r="M56" s="178">
        <v>2008</v>
      </c>
      <c r="N56" s="178">
        <v>2009</v>
      </c>
      <c r="O56" s="178">
        <v>2010</v>
      </c>
      <c r="P56" s="178">
        <v>2011</v>
      </c>
      <c r="Q56" s="179">
        <v>2012</v>
      </c>
      <c r="S56" s="82"/>
      <c r="T56" s="194" t="s">
        <v>38</v>
      </c>
      <c r="U56" s="178">
        <v>2007</v>
      </c>
      <c r="V56" s="178">
        <v>2008</v>
      </c>
      <c r="W56" s="178">
        <v>2009</v>
      </c>
      <c r="X56" s="178">
        <v>2010</v>
      </c>
      <c r="Y56" s="178">
        <v>2011</v>
      </c>
      <c r="Z56" s="179">
        <v>2012</v>
      </c>
      <c r="AB56" s="82"/>
      <c r="AC56" s="194" t="s">
        <v>38</v>
      </c>
      <c r="AD56" s="178">
        <v>2007</v>
      </c>
      <c r="AE56" s="178">
        <v>2008</v>
      </c>
      <c r="AF56" s="178">
        <v>2009</v>
      </c>
      <c r="AG56" s="178">
        <v>2010</v>
      </c>
      <c r="AH56" s="178">
        <v>2011</v>
      </c>
      <c r="AI56" s="179">
        <v>2012</v>
      </c>
      <c r="AL56" s="194" t="s">
        <v>38</v>
      </c>
      <c r="AM56" s="178">
        <v>2007</v>
      </c>
      <c r="AN56" s="178">
        <v>2008</v>
      </c>
      <c r="AO56" s="178">
        <v>2009</v>
      </c>
      <c r="AP56" s="178">
        <v>2010</v>
      </c>
      <c r="AQ56" s="178">
        <v>2011</v>
      </c>
      <c r="AR56" s="179">
        <v>2012</v>
      </c>
    </row>
    <row r="57" spans="2:44" x14ac:dyDescent="0.25">
      <c r="B57" s="168" t="s">
        <v>49</v>
      </c>
      <c r="C57" s="170">
        <f>C23*1/4+D23*3/4</f>
        <v>13591.3432725</v>
      </c>
      <c r="D57" s="170">
        <f t="shared" ref="D57:H57" si="44">D23*1/4+E23*3/4</f>
        <v>13901.293507499999</v>
      </c>
      <c r="E57" s="170">
        <f t="shared" si="44"/>
        <v>14092.154999999999</v>
      </c>
      <c r="F57" s="170">
        <f t="shared" si="44"/>
        <v>14701.837500000001</v>
      </c>
      <c r="G57" s="170">
        <f t="shared" si="44"/>
        <v>16036.965</v>
      </c>
      <c r="H57" s="171">
        <f t="shared" si="44"/>
        <v>16006.095000000001</v>
      </c>
      <c r="I57" s="82"/>
      <c r="J57" s="82"/>
      <c r="K57" s="192" t="s">
        <v>49</v>
      </c>
      <c r="L57" s="170">
        <f>L23*1/4+M23*3/4</f>
        <v>9.7081023374999992E-2</v>
      </c>
      <c r="M57" s="170">
        <f t="shared" ref="M57:Q57" si="45">M23*1/4+N23*3/4</f>
        <v>9.9294953624999988E-2</v>
      </c>
      <c r="N57" s="170">
        <f t="shared" si="45"/>
        <v>0.10065824999999999</v>
      </c>
      <c r="O57" s="170">
        <f t="shared" si="45"/>
        <v>0.105013125</v>
      </c>
      <c r="P57" s="170">
        <f t="shared" si="45"/>
        <v>0.11454974999999999</v>
      </c>
      <c r="Q57" s="171">
        <f t="shared" si="45"/>
        <v>0.11432924999999999</v>
      </c>
      <c r="R57" s="82"/>
      <c r="S57" s="82"/>
      <c r="T57" s="192" t="s">
        <v>49</v>
      </c>
      <c r="U57" s="170">
        <f>U23*1/4+V23*3/4</f>
        <v>0.38832409349999997</v>
      </c>
      <c r="V57" s="170">
        <f t="shared" ref="V57:Z57" si="46">V23*1/4+W23*3/4</f>
        <v>0.39717981449999995</v>
      </c>
      <c r="W57" s="170">
        <f t="shared" si="46"/>
        <v>0.40263299999999996</v>
      </c>
      <c r="X57" s="170">
        <f t="shared" si="46"/>
        <v>0.4200525</v>
      </c>
      <c r="Y57" s="170">
        <f t="shared" si="46"/>
        <v>0.45819899999999997</v>
      </c>
      <c r="Z57" s="171">
        <f t="shared" si="46"/>
        <v>0.45731699999999997</v>
      </c>
      <c r="AA57" s="82"/>
      <c r="AB57" s="82"/>
      <c r="AC57" s="192" t="s">
        <v>49</v>
      </c>
      <c r="AD57" s="170">
        <f>AD23*1/4+AE23*3/4</f>
        <v>13713.762442975874</v>
      </c>
      <c r="AE57" s="170">
        <f t="shared" ref="AE57:AI57" si="47">AE23*1/4+AF23*3/4</f>
        <v>14026.504444021124</v>
      </c>
      <c r="AF57" s="170">
        <f t="shared" si="47"/>
        <v>14219.085053250001</v>
      </c>
      <c r="AG57" s="170">
        <f t="shared" si="47"/>
        <v>14834.259050625</v>
      </c>
      <c r="AH57" s="170">
        <f t="shared" si="47"/>
        <v>16181.412234749998</v>
      </c>
      <c r="AI57" s="171">
        <f t="shared" si="47"/>
        <v>16150.26418425</v>
      </c>
      <c r="AJ57" s="82"/>
      <c r="AL57" s="192" t="s">
        <v>49</v>
      </c>
      <c r="AM57" s="170">
        <f>AM23*1/4+AN23*3/4</f>
        <v>4637.4808219359684</v>
      </c>
      <c r="AN57" s="170">
        <f t="shared" ref="AN57:AR57" si="48">AN23*1/4+AO23*3/4</f>
        <v>4743.2384532273054</v>
      </c>
      <c r="AO57" s="170">
        <f t="shared" si="48"/>
        <v>4808.3620023400499</v>
      </c>
      <c r="AP57" s="170">
        <f t="shared" si="48"/>
        <v>5016.3908074796254</v>
      </c>
      <c r="AQ57" s="170">
        <f t="shared" si="48"/>
        <v>5471.9475579751506</v>
      </c>
      <c r="AR57" s="171">
        <f t="shared" si="48"/>
        <v>5461.4144539174504</v>
      </c>
    </row>
    <row r="58" spans="2:44" x14ac:dyDescent="0.25">
      <c r="B58" s="168" t="s">
        <v>37</v>
      </c>
      <c r="C58" s="170">
        <f t="shared" ref="C58:H59" si="49">C24*1/4+D24*3/4</f>
        <v>8.8536406121640887</v>
      </c>
      <c r="D58" s="170">
        <f t="shared" si="49"/>
        <v>6.4522574999999991</v>
      </c>
      <c r="E58" s="170">
        <f t="shared" si="49"/>
        <v>5.4804359999999992</v>
      </c>
      <c r="F58" s="170">
        <f t="shared" si="49"/>
        <v>3.7757654999999994</v>
      </c>
      <c r="G58" s="170">
        <f t="shared" si="49"/>
        <v>4.0784639999999994</v>
      </c>
      <c r="H58" s="171">
        <f t="shared" si="49"/>
        <v>4.3413337500000004</v>
      </c>
      <c r="I58" s="82"/>
      <c r="J58" s="82"/>
      <c r="K58" s="192" t="s">
        <v>37</v>
      </c>
      <c r="L58" s="170">
        <f t="shared" ref="L58:Q59" si="50">L24*1/4+M24*3/4</f>
        <v>4.6598108485074158E-4</v>
      </c>
      <c r="M58" s="170">
        <f t="shared" si="50"/>
        <v>3.3959249999999995E-4</v>
      </c>
      <c r="N58" s="170">
        <f t="shared" si="50"/>
        <v>2.8844400000000001E-4</v>
      </c>
      <c r="O58" s="170">
        <f t="shared" si="50"/>
        <v>1.9872450000000001E-4</v>
      </c>
      <c r="P58" s="170">
        <f t="shared" si="50"/>
        <v>2.1465599999999997E-4</v>
      </c>
      <c r="Q58" s="171">
        <f t="shared" si="50"/>
        <v>2.2849125000000002E-4</v>
      </c>
      <c r="R58" s="82"/>
      <c r="S58" s="82"/>
      <c r="T58" s="192" t="s">
        <v>37</v>
      </c>
      <c r="U58" s="170">
        <f t="shared" ref="U58:Z59" si="51">U24*1/4+V24*3/4</f>
        <v>4.6598108485074158E-4</v>
      </c>
      <c r="V58" s="170">
        <f t="shared" si="51"/>
        <v>3.3959249999999995E-4</v>
      </c>
      <c r="W58" s="170">
        <f t="shared" si="51"/>
        <v>2.8844400000000001E-4</v>
      </c>
      <c r="X58" s="170">
        <f t="shared" si="51"/>
        <v>1.9872450000000001E-4</v>
      </c>
      <c r="Y58" s="170">
        <f t="shared" si="51"/>
        <v>2.1465599999999997E-4</v>
      </c>
      <c r="Z58" s="171">
        <f t="shared" si="51"/>
        <v>2.2849125000000002E-4</v>
      </c>
      <c r="AA58" s="82"/>
      <c r="AB58" s="82"/>
      <c r="AC58" s="192" t="s">
        <v>37</v>
      </c>
      <c r="AD58" s="170">
        <f t="shared" ref="AD58:AI59" si="52">AD24*1/4+AE24*3/4</f>
        <v>9.0078803512496854</v>
      </c>
      <c r="AE58" s="170">
        <f t="shared" si="52"/>
        <v>6.5646626174999998</v>
      </c>
      <c r="AF58" s="170">
        <f t="shared" si="52"/>
        <v>5.5759109639999993</v>
      </c>
      <c r="AG58" s="170">
        <f t="shared" si="52"/>
        <v>3.8415433094999996</v>
      </c>
      <c r="AH58" s="170">
        <f t="shared" si="52"/>
        <v>4.1495151359999998</v>
      </c>
      <c r="AI58" s="171">
        <f t="shared" si="52"/>
        <v>4.4169643537500001</v>
      </c>
      <c r="AJ58" s="82"/>
      <c r="AL58" s="192" t="s">
        <v>37</v>
      </c>
      <c r="AM58" s="170">
        <f t="shared" ref="AM58:AR59" si="53">AM24*1/4+AN24*3/4</f>
        <v>2.8537864152873968</v>
      </c>
      <c r="AN58" s="170">
        <f t="shared" si="53"/>
        <v>2.0797506481274999</v>
      </c>
      <c r="AO58" s="170">
        <f t="shared" si="53"/>
        <v>1.766504254212</v>
      </c>
      <c r="AP58" s="170">
        <f t="shared" si="53"/>
        <v>1.2170392681635001</v>
      </c>
      <c r="AQ58" s="170">
        <f t="shared" si="53"/>
        <v>1.314607817088</v>
      </c>
      <c r="AR58" s="171">
        <f t="shared" si="53"/>
        <v>1.39933839904875</v>
      </c>
    </row>
    <row r="59" spans="2:44" x14ac:dyDescent="0.25">
      <c r="B59" s="177" t="s">
        <v>4</v>
      </c>
      <c r="C59" s="183">
        <f t="shared" si="49"/>
        <v>13600.196913112162</v>
      </c>
      <c r="D59" s="183">
        <f t="shared" si="49"/>
        <v>13907.745765</v>
      </c>
      <c r="E59" s="183">
        <f t="shared" si="49"/>
        <v>14097.635435999999</v>
      </c>
      <c r="F59" s="183">
        <f t="shared" si="49"/>
        <v>14705.6132655</v>
      </c>
      <c r="G59" s="183">
        <f t="shared" si="49"/>
        <v>16041.043464</v>
      </c>
      <c r="H59" s="184">
        <f t="shared" si="49"/>
        <v>16010.43633375</v>
      </c>
      <c r="I59" s="82"/>
      <c r="J59" s="82"/>
      <c r="K59" s="194" t="s">
        <v>4</v>
      </c>
      <c r="L59" s="183">
        <f t="shared" si="50"/>
        <v>9.7547004459850734E-2</v>
      </c>
      <c r="M59" s="183">
        <f t="shared" si="50"/>
        <v>9.9634546125000001E-2</v>
      </c>
      <c r="N59" s="183">
        <f t="shared" si="50"/>
        <v>0.10094669399999999</v>
      </c>
      <c r="O59" s="183">
        <f t="shared" si="50"/>
        <v>0.1052118495</v>
      </c>
      <c r="P59" s="183">
        <f t="shared" si="50"/>
        <v>0.114764406</v>
      </c>
      <c r="Q59" s="184">
        <f t="shared" si="50"/>
        <v>0.11455774124999998</v>
      </c>
      <c r="R59" s="82"/>
      <c r="S59" s="82"/>
      <c r="T59" s="194" t="s">
        <v>4</v>
      </c>
      <c r="U59" s="183">
        <f t="shared" si="51"/>
        <v>0.38879007458485071</v>
      </c>
      <c r="V59" s="183">
        <f t="shared" si="51"/>
        <v>0.39751940699999994</v>
      </c>
      <c r="W59" s="183">
        <f t="shared" si="51"/>
        <v>0.40292144399999996</v>
      </c>
      <c r="X59" s="183">
        <f t="shared" si="51"/>
        <v>0.42025122450000002</v>
      </c>
      <c r="Y59" s="183">
        <f t="shared" si="51"/>
        <v>0.458413656</v>
      </c>
      <c r="Z59" s="184">
        <f t="shared" si="51"/>
        <v>0.45754549124999999</v>
      </c>
      <c r="AA59" s="82"/>
      <c r="AB59" s="82"/>
      <c r="AC59" s="194" t="s">
        <v>4</v>
      </c>
      <c r="AD59" s="183">
        <f t="shared" si="52"/>
        <v>13722.770323327124</v>
      </c>
      <c r="AE59" s="183">
        <f t="shared" si="52"/>
        <v>14033.069106638623</v>
      </c>
      <c r="AF59" s="183">
        <f t="shared" si="52"/>
        <v>14224.660964213999</v>
      </c>
      <c r="AG59" s="183">
        <f t="shared" si="52"/>
        <v>14838.1005939345</v>
      </c>
      <c r="AH59" s="183">
        <f t="shared" si="52"/>
        <v>16185.561749885997</v>
      </c>
      <c r="AI59" s="184">
        <f t="shared" si="52"/>
        <v>16154.681148603748</v>
      </c>
      <c r="AJ59" s="82"/>
      <c r="AL59" s="194" t="s">
        <v>4</v>
      </c>
      <c r="AM59" s="183">
        <f t="shared" si="53"/>
        <v>4640.3346083512561</v>
      </c>
      <c r="AN59" s="183">
        <f t="shared" si="53"/>
        <v>4745.318203875433</v>
      </c>
      <c r="AO59" s="183">
        <f t="shared" si="53"/>
        <v>4810.128506594262</v>
      </c>
      <c r="AP59" s="183">
        <f t="shared" si="53"/>
        <v>5017.6078467477882</v>
      </c>
      <c r="AQ59" s="183">
        <f t="shared" si="53"/>
        <v>5473.2621657922391</v>
      </c>
      <c r="AR59" s="184">
        <f t="shared" si="53"/>
        <v>5462.8137923164995</v>
      </c>
    </row>
    <row r="60" spans="2:44" x14ac:dyDescent="0.25">
      <c r="B60" s="168"/>
      <c r="C60" s="170"/>
      <c r="D60" s="170"/>
      <c r="E60" s="170"/>
      <c r="F60" s="170"/>
      <c r="G60" s="170"/>
      <c r="H60" s="171"/>
      <c r="I60" s="82"/>
      <c r="J60" s="82"/>
      <c r="K60" s="192"/>
      <c r="L60" s="170"/>
      <c r="M60" s="170"/>
      <c r="N60" s="170"/>
      <c r="O60" s="170"/>
      <c r="P60" s="170"/>
      <c r="Q60" s="171"/>
      <c r="R60" s="82"/>
      <c r="S60" s="82"/>
      <c r="T60" s="192"/>
      <c r="U60" s="170"/>
      <c r="V60" s="170"/>
      <c r="W60" s="170"/>
      <c r="X60" s="170"/>
      <c r="Y60" s="170"/>
      <c r="Z60" s="171"/>
      <c r="AA60" s="82"/>
      <c r="AB60" s="82"/>
      <c r="AC60" s="192"/>
      <c r="AD60" s="170"/>
      <c r="AE60" s="170"/>
      <c r="AF60" s="170"/>
      <c r="AG60" s="170"/>
      <c r="AH60" s="170"/>
      <c r="AI60" s="171"/>
      <c r="AJ60" s="82"/>
      <c r="AL60" s="192"/>
      <c r="AM60" s="170"/>
      <c r="AN60" s="170"/>
      <c r="AO60" s="170"/>
      <c r="AP60" s="170"/>
      <c r="AQ60" s="170"/>
      <c r="AR60" s="171"/>
    </row>
    <row r="61" spans="2:44" x14ac:dyDescent="0.25">
      <c r="B61" s="177" t="s">
        <v>100</v>
      </c>
      <c r="C61" s="178">
        <v>2007</v>
      </c>
      <c r="D61" s="178">
        <v>2008</v>
      </c>
      <c r="E61" s="178">
        <v>2009</v>
      </c>
      <c r="F61" s="178">
        <v>2010</v>
      </c>
      <c r="G61" s="178">
        <v>2011</v>
      </c>
      <c r="H61" s="179">
        <v>2012</v>
      </c>
      <c r="J61" s="82"/>
      <c r="K61" s="194" t="s">
        <v>100</v>
      </c>
      <c r="L61" s="178">
        <v>2007</v>
      </c>
      <c r="M61" s="178">
        <v>2008</v>
      </c>
      <c r="N61" s="178">
        <v>2009</v>
      </c>
      <c r="O61" s="178">
        <v>2010</v>
      </c>
      <c r="P61" s="178">
        <v>2011</v>
      </c>
      <c r="Q61" s="179">
        <v>2012</v>
      </c>
      <c r="S61" s="82"/>
      <c r="T61" s="194" t="s">
        <v>100</v>
      </c>
      <c r="U61" s="178">
        <v>2007</v>
      </c>
      <c r="V61" s="178">
        <v>2008</v>
      </c>
      <c r="W61" s="178">
        <v>2009</v>
      </c>
      <c r="X61" s="178">
        <v>2010</v>
      </c>
      <c r="Y61" s="178">
        <v>2011</v>
      </c>
      <c r="Z61" s="179">
        <v>2012</v>
      </c>
      <c r="AB61" s="82"/>
      <c r="AC61" s="194" t="s">
        <v>100</v>
      </c>
      <c r="AD61" s="178">
        <v>2007</v>
      </c>
      <c r="AE61" s="178">
        <v>2008</v>
      </c>
      <c r="AF61" s="178">
        <v>2009</v>
      </c>
      <c r="AG61" s="178">
        <v>2010</v>
      </c>
      <c r="AH61" s="178">
        <v>2011</v>
      </c>
      <c r="AI61" s="179">
        <v>2012</v>
      </c>
      <c r="AL61" s="194" t="s">
        <v>100</v>
      </c>
      <c r="AM61" s="178">
        <v>2007</v>
      </c>
      <c r="AN61" s="178">
        <v>2008</v>
      </c>
      <c r="AO61" s="178">
        <v>2009</v>
      </c>
      <c r="AP61" s="178">
        <v>2010</v>
      </c>
      <c r="AQ61" s="178">
        <v>2011</v>
      </c>
      <c r="AR61" s="179">
        <v>2012</v>
      </c>
    </row>
    <row r="62" spans="2:44" x14ac:dyDescent="0.25">
      <c r="B62" s="168" t="s">
        <v>37</v>
      </c>
      <c r="C62" s="170">
        <f>C28*1/4+D28*3/4</f>
        <v>1919.8420695850552</v>
      </c>
      <c r="D62" s="170">
        <f t="shared" ref="D62:H62" si="54">D28*1/4+E28*3/4</f>
        <v>2273.1303172500002</v>
      </c>
      <c r="E62" s="170">
        <f t="shared" si="54"/>
        <v>2189.7368804999996</v>
      </c>
      <c r="F62" s="170">
        <f t="shared" si="54"/>
        <v>1873.4886397499999</v>
      </c>
      <c r="G62" s="170">
        <f t="shared" si="54"/>
        <v>1737.0034792499998</v>
      </c>
      <c r="H62" s="171">
        <f t="shared" si="54"/>
        <v>1417.1228564999999</v>
      </c>
      <c r="I62" s="82"/>
      <c r="J62" s="82"/>
      <c r="K62" s="192" t="s">
        <v>37</v>
      </c>
      <c r="L62" s="170">
        <f>L28*1/4+M28*3/4</f>
        <v>0.10104431945184501</v>
      </c>
      <c r="M62" s="170">
        <f t="shared" ref="M62:Q62" si="55">M28*1/4+N28*3/4</f>
        <v>0.11963843775000002</v>
      </c>
      <c r="N62" s="170">
        <f t="shared" si="55"/>
        <v>0.11524930949999998</v>
      </c>
      <c r="O62" s="170">
        <f t="shared" si="55"/>
        <v>9.8604665250000001E-2</v>
      </c>
      <c r="P62" s="170">
        <f t="shared" si="55"/>
        <v>9.1421235749999996E-2</v>
      </c>
      <c r="Q62" s="171">
        <f t="shared" si="55"/>
        <v>7.4585413500000003E-2</v>
      </c>
      <c r="R62" s="82"/>
      <c r="S62" s="82"/>
      <c r="T62" s="192" t="s">
        <v>37</v>
      </c>
      <c r="U62" s="170">
        <f>U28*1/4+V28*3/4</f>
        <v>0.10104431945184501</v>
      </c>
      <c r="V62" s="170">
        <f t="shared" ref="V62:Z62" si="56">V28*1/4+W28*3/4</f>
        <v>0.11963843775000002</v>
      </c>
      <c r="W62" s="170">
        <f t="shared" si="56"/>
        <v>0.11524930949999998</v>
      </c>
      <c r="X62" s="170">
        <f t="shared" si="56"/>
        <v>9.8604665250000001E-2</v>
      </c>
      <c r="Y62" s="170">
        <f t="shared" si="56"/>
        <v>9.1421235749999996E-2</v>
      </c>
      <c r="Z62" s="171">
        <f t="shared" si="56"/>
        <v>7.4585413500000003E-2</v>
      </c>
      <c r="AA62" s="82"/>
      <c r="AB62" s="82"/>
      <c r="AC62" s="192" t="s">
        <v>37</v>
      </c>
      <c r="AD62" s="170">
        <f>AD28*1/4+AE28*3/4</f>
        <v>1953.2877393236161</v>
      </c>
      <c r="AE62" s="170">
        <f t="shared" ref="AE62:AI62" si="57">AE28*1/4+AF28*3/4</f>
        <v>2312.7306401452506</v>
      </c>
      <c r="AF62" s="170">
        <f t="shared" si="57"/>
        <v>2227.8844019444996</v>
      </c>
      <c r="AG62" s="170">
        <f t="shared" si="57"/>
        <v>1906.1267839477496</v>
      </c>
      <c r="AH62" s="170">
        <f t="shared" si="57"/>
        <v>1767.2639082832497</v>
      </c>
      <c r="AI62" s="171">
        <f t="shared" si="57"/>
        <v>1441.8106283684999</v>
      </c>
      <c r="AJ62" s="82"/>
      <c r="AL62" s="192" t="s">
        <v>37</v>
      </c>
      <c r="AM62" s="170">
        <f>AM28*1/4+AN28*3/4</f>
        <v>618.82105426231976</v>
      </c>
      <c r="AN62" s="170">
        <f t="shared" ref="AN62:AR62" si="58">AN28*1/4+AO28*3/4</f>
        <v>732.69615333531829</v>
      </c>
      <c r="AO62" s="170">
        <f t="shared" si="58"/>
        <v>705.81601810661846</v>
      </c>
      <c r="AP62" s="170">
        <f t="shared" si="58"/>
        <v>603.87999282105079</v>
      </c>
      <c r="AQ62" s="170">
        <f t="shared" si="58"/>
        <v>559.88684762967227</v>
      </c>
      <c r="AR62" s="171">
        <f t="shared" si="58"/>
        <v>456.7799997570105</v>
      </c>
    </row>
    <row r="63" spans="2:44" x14ac:dyDescent="0.25">
      <c r="B63" s="168" t="s">
        <v>40</v>
      </c>
      <c r="C63" s="170">
        <f t="shared" ref="C63:H65" si="59">C29*1/4+D29*3/4</f>
        <v>107.85409337968514</v>
      </c>
      <c r="D63" s="170">
        <f t="shared" si="59"/>
        <v>57.433057499999997</v>
      </c>
      <c r="E63" s="170">
        <f t="shared" si="59"/>
        <v>21.061443000000001</v>
      </c>
      <c r="F63" s="170">
        <f t="shared" si="59"/>
        <v>12.6336795</v>
      </c>
      <c r="G63" s="170">
        <f t="shared" si="59"/>
        <v>7.0815517499999991</v>
      </c>
      <c r="H63" s="171">
        <f t="shared" si="59"/>
        <v>6.4920862499999998</v>
      </c>
      <c r="I63" s="82"/>
      <c r="J63" s="82"/>
      <c r="K63" s="192" t="s">
        <v>40</v>
      </c>
      <c r="L63" s="170">
        <f t="shared" ref="L63:Q65" si="60">L29*1/4+M29*3/4</f>
        <v>1.4555208283358319E-2</v>
      </c>
      <c r="M63" s="170">
        <f t="shared" si="60"/>
        <v>7.7507499999999998E-3</v>
      </c>
      <c r="N63" s="170">
        <f t="shared" si="60"/>
        <v>2.8423000000000003E-3</v>
      </c>
      <c r="O63" s="170">
        <f t="shared" si="60"/>
        <v>1.7049500000000002E-3</v>
      </c>
      <c r="P63" s="170">
        <f t="shared" si="60"/>
        <v>9.5567500000000001E-4</v>
      </c>
      <c r="Q63" s="171">
        <f t="shared" si="60"/>
        <v>8.7612499999999995E-4</v>
      </c>
      <c r="R63" s="82"/>
      <c r="S63" s="82"/>
      <c r="T63" s="192" t="s">
        <v>40</v>
      </c>
      <c r="U63" s="170">
        <f t="shared" ref="U63:Z65" si="61">U29*1/4+V29*3/4</f>
        <v>8.733124970014991E-4</v>
      </c>
      <c r="V63" s="170">
        <f t="shared" si="61"/>
        <v>4.6504499999999998E-4</v>
      </c>
      <c r="W63" s="170">
        <f t="shared" si="61"/>
        <v>1.7053800000000003E-4</v>
      </c>
      <c r="X63" s="170">
        <f t="shared" si="61"/>
        <v>1.02297E-4</v>
      </c>
      <c r="Y63" s="170">
        <f t="shared" si="61"/>
        <v>5.7340499999999984E-5</v>
      </c>
      <c r="Z63" s="171">
        <f t="shared" si="61"/>
        <v>5.2567499999999994E-5</v>
      </c>
      <c r="AA63" s="82"/>
      <c r="AB63" s="82"/>
      <c r="AC63" s="192" t="s">
        <v>40</v>
      </c>
      <c r="AD63" s="170">
        <f t="shared" ref="AD63:AI65" si="62">AD29*1/4+AE29*3/4</f>
        <v>108.43047962770612</v>
      </c>
      <c r="AE63" s="170">
        <f t="shared" si="62"/>
        <v>57.739987200000002</v>
      </c>
      <c r="AF63" s="170">
        <f t="shared" si="62"/>
        <v>21.17399808</v>
      </c>
      <c r="AG63" s="170">
        <f t="shared" si="62"/>
        <v>12.701195520000001</v>
      </c>
      <c r="AH63" s="170">
        <f t="shared" si="62"/>
        <v>7.1193964799999989</v>
      </c>
      <c r="AI63" s="171">
        <f t="shared" si="62"/>
        <v>6.5267807999999992</v>
      </c>
      <c r="AJ63" s="82"/>
      <c r="AL63" s="192" t="s">
        <v>40</v>
      </c>
      <c r="AM63" s="170">
        <f t="shared" ref="AM63:AR65" si="63">AM29*1/4+AN29*3/4</f>
        <v>34.764517784605481</v>
      </c>
      <c r="AN63" s="170">
        <f t="shared" si="63"/>
        <v>18.512348361727501</v>
      </c>
      <c r="AO63" s="170">
        <f t="shared" si="63"/>
        <v>6.7887169304310007</v>
      </c>
      <c r="AP63" s="170">
        <f t="shared" si="63"/>
        <v>4.0722031209015004</v>
      </c>
      <c r="AQ63" s="170">
        <f t="shared" si="63"/>
        <v>2.2825905261547499</v>
      </c>
      <c r="AR63" s="171">
        <f t="shared" si="63"/>
        <v>2.09258861509125</v>
      </c>
    </row>
    <row r="64" spans="2:44" x14ac:dyDescent="0.25">
      <c r="B64" s="168" t="s">
        <v>41</v>
      </c>
      <c r="C64" s="170">
        <f t="shared" si="59"/>
        <v>804.78248709138461</v>
      </c>
      <c r="D64" s="170">
        <f t="shared" si="59"/>
        <v>1208.0037912750001</v>
      </c>
      <c r="E64" s="170">
        <f t="shared" si="59"/>
        <v>1633.7894517900002</v>
      </c>
      <c r="F64" s="170">
        <f t="shared" si="59"/>
        <v>2243.6355863250001</v>
      </c>
      <c r="G64" s="170">
        <f t="shared" si="59"/>
        <v>1459.6287996149999</v>
      </c>
      <c r="H64" s="171">
        <f t="shared" si="59"/>
        <v>921.56220602999997</v>
      </c>
      <c r="I64" s="82"/>
      <c r="J64" s="82"/>
      <c r="K64" s="192" t="s">
        <v>41</v>
      </c>
      <c r="L64" s="170">
        <f t="shared" si="60"/>
        <v>7.2783945860977931E-2</v>
      </c>
      <c r="M64" s="170">
        <f t="shared" si="60"/>
        <v>0.10925098887500001</v>
      </c>
      <c r="N64" s="170">
        <f t="shared" si="60"/>
        <v>0.14775873595</v>
      </c>
      <c r="O64" s="170">
        <f t="shared" si="60"/>
        <v>0.202912779125</v>
      </c>
      <c r="P64" s="170">
        <f t="shared" si="60"/>
        <v>0.13200777257499999</v>
      </c>
      <c r="Q64" s="171">
        <f t="shared" si="60"/>
        <v>8.3345419149999989E-2</v>
      </c>
      <c r="R64" s="82"/>
      <c r="S64" s="82"/>
      <c r="T64" s="192" t="s">
        <v>41</v>
      </c>
      <c r="U64" s="170">
        <f t="shared" si="61"/>
        <v>2.0795413103136554E-2</v>
      </c>
      <c r="V64" s="170">
        <f t="shared" si="61"/>
        <v>3.1214568249999998E-2</v>
      </c>
      <c r="W64" s="170">
        <f t="shared" si="61"/>
        <v>4.2216781699999997E-2</v>
      </c>
      <c r="X64" s="170">
        <f t="shared" si="61"/>
        <v>5.7975079749999998E-2</v>
      </c>
      <c r="Y64" s="170">
        <f t="shared" si="61"/>
        <v>3.7716506449999999E-2</v>
      </c>
      <c r="Z64" s="171">
        <f t="shared" si="61"/>
        <v>2.3812976899999998E-2</v>
      </c>
      <c r="AA64" s="82"/>
      <c r="AB64" s="82"/>
      <c r="AC64" s="192" t="s">
        <v>41</v>
      </c>
      <c r="AD64" s="170">
        <f t="shared" si="62"/>
        <v>812.75752801643762</v>
      </c>
      <c r="AE64" s="170">
        <f t="shared" si="62"/>
        <v>1219.9745781988752</v>
      </c>
      <c r="AF64" s="170">
        <f t="shared" si="62"/>
        <v>1649.9795875719501</v>
      </c>
      <c r="AG64" s="170">
        <f t="shared" si="62"/>
        <v>2265.8690294091252</v>
      </c>
      <c r="AH64" s="170">
        <f t="shared" si="62"/>
        <v>1474.093079838575</v>
      </c>
      <c r="AI64" s="171">
        <f t="shared" si="62"/>
        <v>930.69448267115001</v>
      </c>
      <c r="AJ64" s="82"/>
      <c r="AL64" s="192" t="s">
        <v>41</v>
      </c>
      <c r="AM64" s="170">
        <f t="shared" si="63"/>
        <v>248.34495480521016</v>
      </c>
      <c r="AN64" s="170">
        <f t="shared" si="63"/>
        <v>372.77357765694853</v>
      </c>
      <c r="AO64" s="170">
        <f t="shared" si="63"/>
        <v>504.16525467948429</v>
      </c>
      <c r="AP64" s="170">
        <f t="shared" si="63"/>
        <v>692.3554963267643</v>
      </c>
      <c r="AQ64" s="170">
        <f t="shared" si="63"/>
        <v>450.42164073782675</v>
      </c>
      <c r="AR64" s="171">
        <f t="shared" si="63"/>
        <v>284.38159139603891</v>
      </c>
    </row>
    <row r="65" spans="2:44" ht="16.5" thickBot="1" x14ac:dyDescent="0.3">
      <c r="B65" s="189" t="s">
        <v>4</v>
      </c>
      <c r="C65" s="190">
        <f t="shared" si="59"/>
        <v>2832.4786500561254</v>
      </c>
      <c r="D65" s="190">
        <f t="shared" si="59"/>
        <v>3538.567166025</v>
      </c>
      <c r="E65" s="190">
        <f t="shared" si="59"/>
        <v>3844.5877752899996</v>
      </c>
      <c r="F65" s="190">
        <f t="shared" si="59"/>
        <v>4129.7579055749993</v>
      </c>
      <c r="G65" s="190">
        <f t="shared" si="59"/>
        <v>3203.7138306149996</v>
      </c>
      <c r="H65" s="191">
        <f t="shared" si="59"/>
        <v>2345.1771487799997</v>
      </c>
      <c r="I65" s="82"/>
      <c r="J65" s="82"/>
      <c r="K65" s="195" t="s">
        <v>4</v>
      </c>
      <c r="L65" s="190">
        <f t="shared" si="60"/>
        <v>0.18838347359618124</v>
      </c>
      <c r="M65" s="190">
        <f t="shared" si="60"/>
        <v>0.23664017662500003</v>
      </c>
      <c r="N65" s="190">
        <f t="shared" si="60"/>
        <v>0.26585034544999997</v>
      </c>
      <c r="O65" s="190">
        <f t="shared" si="60"/>
        <v>0.30322239437499998</v>
      </c>
      <c r="P65" s="190">
        <f t="shared" si="60"/>
        <v>0.224384683325</v>
      </c>
      <c r="Q65" s="191">
        <f t="shared" si="60"/>
        <v>0.15880695764999997</v>
      </c>
      <c r="R65" s="82"/>
      <c r="S65" s="82"/>
      <c r="T65" s="195" t="s">
        <v>4</v>
      </c>
      <c r="U65" s="190">
        <f t="shared" si="61"/>
        <v>0.12271304505198308</v>
      </c>
      <c r="V65" s="190">
        <f t="shared" si="61"/>
        <v>0.15131805100000001</v>
      </c>
      <c r="W65" s="190">
        <f t="shared" si="61"/>
        <v>0.15763662919999999</v>
      </c>
      <c r="X65" s="190">
        <f t="shared" si="61"/>
        <v>0.15668204200000002</v>
      </c>
      <c r="Y65" s="190">
        <f t="shared" si="61"/>
        <v>0.12919508269999999</v>
      </c>
      <c r="Z65" s="191">
        <f t="shared" si="61"/>
        <v>9.8450957899999997E-2</v>
      </c>
      <c r="AA65" s="82"/>
      <c r="AB65" s="82"/>
      <c r="AC65" s="195" t="s">
        <v>4</v>
      </c>
      <c r="AD65" s="190">
        <f t="shared" si="62"/>
        <v>2874.4757469677597</v>
      </c>
      <c r="AE65" s="190">
        <f t="shared" si="62"/>
        <v>3590.4452055441257</v>
      </c>
      <c r="AF65" s="190">
        <f t="shared" si="62"/>
        <v>3899.0379875964495</v>
      </c>
      <c r="AG65" s="190">
        <f t="shared" si="62"/>
        <v>4184.6970088768749</v>
      </c>
      <c r="AH65" s="190">
        <f t="shared" si="62"/>
        <v>3248.476384601825</v>
      </c>
      <c r="AI65" s="191">
        <f t="shared" si="62"/>
        <v>2379.0318918396501</v>
      </c>
      <c r="AJ65" s="82"/>
      <c r="AL65" s="195" t="s">
        <v>4</v>
      </c>
      <c r="AM65" s="190">
        <f t="shared" si="63"/>
        <v>901.93052685213536</v>
      </c>
      <c r="AN65" s="190">
        <f t="shared" si="63"/>
        <v>1123.9820793539943</v>
      </c>
      <c r="AO65" s="190">
        <f t="shared" si="63"/>
        <v>1216.7699897165339</v>
      </c>
      <c r="AP65" s="190">
        <f t="shared" si="63"/>
        <v>1300.3076922687164</v>
      </c>
      <c r="AQ65" s="190">
        <f t="shared" si="63"/>
        <v>1012.5910788936537</v>
      </c>
      <c r="AR65" s="191">
        <f t="shared" si="63"/>
        <v>743.2541797681406</v>
      </c>
    </row>
  </sheetData>
  <mergeCells count="6">
    <mergeCell ref="AL2:AS2"/>
    <mergeCell ref="AL36:AR36"/>
    <mergeCell ref="T36:Z36"/>
    <mergeCell ref="K36:Q36"/>
    <mergeCell ref="B36:H36"/>
    <mergeCell ref="AC36:AI36"/>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Introduction</vt:lpstr>
      <vt:lpstr>Description</vt:lpstr>
      <vt:lpstr>Final Results</vt:lpstr>
      <vt:lpstr>Summary</vt:lpstr>
      <vt:lpstr>Raw Data</vt:lpstr>
      <vt:lpstr>Emission Factors</vt:lpstr>
      <vt:lpstr>Transport GHG Inventory</vt:lpstr>
      <vt:lpstr>Calculation</vt:lpstr>
    </vt:vector>
  </TitlesOfParts>
  <Company>CSTEP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Lakshmi</dc:creator>
  <cp:lastModifiedBy>PRIYA</cp:lastModifiedBy>
  <dcterms:created xsi:type="dcterms:W3CDTF">2015-11-19T09:26:50Z</dcterms:created>
  <dcterms:modified xsi:type="dcterms:W3CDTF">2019-09-11T06:54:36Z</dcterms:modified>
</cp:coreProperties>
</file>