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showInkAnnotation="0" autoCompressPictures="0"/>
  <mc:AlternateContent xmlns:mc="http://schemas.openxmlformats.org/markup-compatibility/2006">
    <mc:Choice Requires="x15">
      <x15ac:absPath xmlns:x15ac="http://schemas.microsoft.com/office/spreadsheetml/2010/11/ac" url="C:\Users\PRIYA\Desktop\Emission Estimates  Phase I&amp;II\I\3. Energy\"/>
    </mc:Choice>
  </mc:AlternateContent>
  <xr:revisionPtr revIDLastSave="0" documentId="13_ncr:1_{11FD86D7-5E46-49B6-A461-3D5F06F84BBE}" xr6:coauthVersionLast="44" xr6:coauthVersionMax="44" xr10:uidLastSave="{00000000-0000-0000-0000-000000000000}"/>
  <bookViews>
    <workbookView xWindow="-120" yWindow="-120" windowWidth="20730" windowHeight="11160" xr2:uid="{00000000-000D-0000-FFFF-FFFF00000000}"/>
  </bookViews>
  <sheets>
    <sheet name="Introduction" sheetId="8" r:id="rId1"/>
    <sheet name="Description" sheetId="9" r:id="rId2"/>
    <sheet name="Final Results" sheetId="4" r:id="rId3"/>
    <sheet name="FugitiveEmissions" sheetId="1" r:id="rId4"/>
    <sheet name="Coal - Raw Data" sheetId="2" r:id="rId5"/>
    <sheet name="OilandGas- Raw Data" sheetId="3" r:id="rId6"/>
    <sheet name="Calculations" sheetId="6" r:id="rId7"/>
  </sheets>
  <definedNames>
    <definedName name="_xlnm.Print_Area" localSheetId="3">FugitiveEmissions!$A$12:$L$88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3" i="6" l="1"/>
  <c r="F3" i="6"/>
  <c r="G3" i="6"/>
  <c r="G43" i="6" s="1"/>
  <c r="H3" i="6"/>
  <c r="I3" i="6"/>
  <c r="J3" i="6"/>
  <c r="I43" i="6" s="1"/>
  <c r="K3" i="6"/>
  <c r="L3" i="6"/>
  <c r="E4" i="6"/>
  <c r="F4" i="6"/>
  <c r="G4" i="6"/>
  <c r="H4" i="6"/>
  <c r="I4" i="6"/>
  <c r="J4" i="6"/>
  <c r="K4" i="6"/>
  <c r="J44" i="6" s="1"/>
  <c r="L4" i="6"/>
  <c r="E5" i="6"/>
  <c r="F5" i="6"/>
  <c r="G5" i="6"/>
  <c r="G45" i="6" s="1"/>
  <c r="H5" i="6"/>
  <c r="I5" i="6"/>
  <c r="J5" i="6"/>
  <c r="I45" i="6" s="1"/>
  <c r="K5" i="6"/>
  <c r="L5" i="6"/>
  <c r="E6" i="6"/>
  <c r="F6" i="6"/>
  <c r="G6" i="6"/>
  <c r="H6" i="6"/>
  <c r="I6" i="6"/>
  <c r="J6" i="6"/>
  <c r="I46" i="6" s="1"/>
  <c r="K6" i="6"/>
  <c r="J46" i="6" s="1"/>
  <c r="L6" i="6"/>
  <c r="E7" i="6"/>
  <c r="F7" i="6"/>
  <c r="G7" i="6"/>
  <c r="G47" i="6" s="1"/>
  <c r="H7" i="6"/>
  <c r="I7" i="6"/>
  <c r="J7" i="6"/>
  <c r="I47" i="6" s="1"/>
  <c r="K7" i="6"/>
  <c r="L7" i="6"/>
  <c r="E8" i="6"/>
  <c r="F8" i="6"/>
  <c r="G8" i="6"/>
  <c r="H8" i="6"/>
  <c r="I8" i="6"/>
  <c r="J8" i="6"/>
  <c r="I48" i="6" s="1"/>
  <c r="K8" i="6"/>
  <c r="J48" i="6" s="1"/>
  <c r="L8" i="6"/>
  <c r="D4" i="6"/>
  <c r="D5" i="6"/>
  <c r="D6" i="6"/>
  <c r="D7" i="6"/>
  <c r="D8" i="6"/>
  <c r="D3" i="6"/>
  <c r="I44" i="6"/>
  <c r="H47" i="6"/>
  <c r="H43" i="6"/>
  <c r="H48" i="6"/>
  <c r="H46" i="6"/>
  <c r="H45" i="6"/>
  <c r="H44" i="6"/>
  <c r="C37" i="1"/>
  <c r="E25" i="6"/>
  <c r="F25" i="6"/>
  <c r="F71" i="6" s="1"/>
  <c r="G25" i="6"/>
  <c r="H25" i="6"/>
  <c r="I25" i="6"/>
  <c r="J25" i="6"/>
  <c r="J71" i="6" s="1"/>
  <c r="K25" i="6"/>
  <c r="L25" i="6"/>
  <c r="K71" i="6" s="1"/>
  <c r="E26" i="6"/>
  <c r="F26" i="6"/>
  <c r="F72" i="6" s="1"/>
  <c r="G26" i="6"/>
  <c r="H26" i="6"/>
  <c r="I26" i="6"/>
  <c r="I72" i="6" s="1"/>
  <c r="J26" i="6"/>
  <c r="J72" i="6" s="1"/>
  <c r="K26" i="6"/>
  <c r="L26" i="6"/>
  <c r="K72" i="6" s="1"/>
  <c r="D26" i="6"/>
  <c r="D25" i="6"/>
  <c r="C33" i="1"/>
  <c r="G33" i="1"/>
  <c r="H29" i="6" s="1"/>
  <c r="C35" i="1"/>
  <c r="C34" i="1"/>
  <c r="D29" i="6" s="1"/>
  <c r="D30" i="6"/>
  <c r="C82" i="1"/>
  <c r="C45" i="1"/>
  <c r="D32" i="6" s="1"/>
  <c r="D24" i="6"/>
  <c r="E19" i="6"/>
  <c r="E20" i="6" s="1"/>
  <c r="F19" i="6"/>
  <c r="G19" i="6"/>
  <c r="H19" i="6"/>
  <c r="H62" i="6" s="1"/>
  <c r="H64" i="6" s="1"/>
  <c r="I19" i="6"/>
  <c r="I20" i="6" s="1"/>
  <c r="J19" i="6"/>
  <c r="K19" i="6"/>
  <c r="L19" i="6"/>
  <c r="L20" i="6" s="1"/>
  <c r="D19" i="6"/>
  <c r="D20" i="6" s="1"/>
  <c r="C65" i="1"/>
  <c r="D35" i="6" s="1"/>
  <c r="D34" i="6"/>
  <c r="E34" i="6"/>
  <c r="F34" i="6"/>
  <c r="G34" i="6"/>
  <c r="H34" i="6"/>
  <c r="I34" i="6"/>
  <c r="H81" i="6" s="1"/>
  <c r="H84" i="6" s="1"/>
  <c r="J34" i="6"/>
  <c r="K34" i="6"/>
  <c r="L34" i="6"/>
  <c r="E33" i="6"/>
  <c r="F33" i="6"/>
  <c r="G33" i="6"/>
  <c r="H33" i="6"/>
  <c r="I33" i="6"/>
  <c r="J33" i="6"/>
  <c r="K33" i="6"/>
  <c r="L33" i="6"/>
  <c r="D33" i="6"/>
  <c r="G76" i="6"/>
  <c r="H76" i="6"/>
  <c r="I76" i="6"/>
  <c r="J76" i="6"/>
  <c r="K76" i="6"/>
  <c r="F76" i="6"/>
  <c r="G75" i="6"/>
  <c r="H75" i="6"/>
  <c r="I75" i="6"/>
  <c r="J75" i="6"/>
  <c r="K75" i="6"/>
  <c r="G77" i="6"/>
  <c r="H77" i="6"/>
  <c r="I77" i="6"/>
  <c r="J77" i="6"/>
  <c r="K77" i="6"/>
  <c r="F77" i="6"/>
  <c r="F75" i="6"/>
  <c r="E27" i="6"/>
  <c r="F27" i="6"/>
  <c r="F73" i="6" s="1"/>
  <c r="G27" i="6"/>
  <c r="H27" i="6"/>
  <c r="I27" i="6"/>
  <c r="J27" i="6"/>
  <c r="J73" i="6" s="1"/>
  <c r="K27" i="6"/>
  <c r="L27" i="6"/>
  <c r="E28" i="6"/>
  <c r="F28" i="6"/>
  <c r="G28" i="6"/>
  <c r="H28" i="6"/>
  <c r="H74" i="6" s="1"/>
  <c r="I28" i="6"/>
  <c r="J28" i="6"/>
  <c r="K28" i="6"/>
  <c r="L28" i="6"/>
  <c r="D28" i="6"/>
  <c r="D27" i="6"/>
  <c r="I80" i="6"/>
  <c r="I83" i="6" s="1"/>
  <c r="K81" i="6"/>
  <c r="K84" i="6" s="1"/>
  <c r="E24" i="6"/>
  <c r="F24" i="6"/>
  <c r="F79" i="6" s="1"/>
  <c r="G24" i="6"/>
  <c r="H24" i="6"/>
  <c r="H79" i="6" s="1"/>
  <c r="I24" i="6"/>
  <c r="J24" i="6"/>
  <c r="K24" i="6"/>
  <c r="J79" i="6" s="1"/>
  <c r="L24" i="6"/>
  <c r="K79" i="6" s="1"/>
  <c r="E22" i="6"/>
  <c r="F22" i="6"/>
  <c r="G22" i="6"/>
  <c r="H22" i="6"/>
  <c r="I22" i="6"/>
  <c r="J22" i="6"/>
  <c r="J23" i="6" s="1"/>
  <c r="K22" i="6"/>
  <c r="L22" i="6"/>
  <c r="L23" i="6" s="1"/>
  <c r="D22" i="6"/>
  <c r="G79" i="6"/>
  <c r="E21" i="6"/>
  <c r="F21" i="6"/>
  <c r="F23" i="6"/>
  <c r="G21" i="6"/>
  <c r="G23" i="6" s="1"/>
  <c r="H21" i="6"/>
  <c r="H23" i="6" s="1"/>
  <c r="I21" i="6"/>
  <c r="J21" i="6"/>
  <c r="K21" i="6"/>
  <c r="L21" i="6"/>
  <c r="D21" i="6"/>
  <c r="L15" i="6"/>
  <c r="L16" i="6" s="1"/>
  <c r="K15" i="6"/>
  <c r="K16" i="6" s="1"/>
  <c r="J15" i="6"/>
  <c r="I15" i="6"/>
  <c r="I16" i="6" s="1"/>
  <c r="H15" i="6"/>
  <c r="G15" i="6"/>
  <c r="G16" i="6" s="1"/>
  <c r="F15" i="6"/>
  <c r="F16" i="6" s="1"/>
  <c r="E15" i="6"/>
  <c r="E16" i="6" s="1"/>
  <c r="D15" i="6"/>
  <c r="D16" i="6"/>
  <c r="L13" i="6"/>
  <c r="L14" i="6" s="1"/>
  <c r="K13" i="6"/>
  <c r="K14" i="6"/>
  <c r="J13" i="6"/>
  <c r="I13" i="6"/>
  <c r="I14" i="6" s="1"/>
  <c r="H13" i="6"/>
  <c r="H53" i="6" s="1"/>
  <c r="H55" i="6" s="1"/>
  <c r="G13" i="6"/>
  <c r="F13" i="6"/>
  <c r="E13" i="6"/>
  <c r="E14" i="6"/>
  <c r="D13" i="6"/>
  <c r="D14" i="6" s="1"/>
  <c r="K53" i="6"/>
  <c r="K55" i="6" s="1"/>
  <c r="K20" i="6"/>
  <c r="I62" i="6"/>
  <c r="I64" i="6" s="1"/>
  <c r="F20" i="6"/>
  <c r="J20" i="6"/>
  <c r="H16" i="6"/>
  <c r="F14" i="6"/>
  <c r="C63" i="1"/>
  <c r="C64" i="1" s="1"/>
  <c r="D63" i="1"/>
  <c r="D64" i="1" s="1"/>
  <c r="E17" i="6" s="1"/>
  <c r="E18" i="6" s="1"/>
  <c r="E63" i="1"/>
  <c r="E64" i="1" s="1"/>
  <c r="F9" i="6" s="1"/>
  <c r="M63" i="1"/>
  <c r="N63" i="1"/>
  <c r="O63" i="1"/>
  <c r="P63" i="1"/>
  <c r="Q63" i="1"/>
  <c r="L63" i="1"/>
  <c r="G64" i="1"/>
  <c r="H9" i="6" s="1"/>
  <c r="H64" i="1"/>
  <c r="I9" i="6" s="1"/>
  <c r="I64" i="1"/>
  <c r="J9" i="6" s="1"/>
  <c r="J64" i="1"/>
  <c r="K17" i="6" s="1"/>
  <c r="K64" i="1"/>
  <c r="L9" i="6" s="1"/>
  <c r="F64" i="1"/>
  <c r="G17" i="6" s="1"/>
  <c r="F7" i="4"/>
  <c r="F10" i="4" s="1"/>
  <c r="C4" i="4"/>
  <c r="C7" i="4" s="1"/>
  <c r="D43" i="1"/>
  <c r="E43" i="1"/>
  <c r="F43" i="1"/>
  <c r="G43" i="1"/>
  <c r="H43" i="1"/>
  <c r="I43" i="1"/>
  <c r="J43" i="1"/>
  <c r="K43" i="1"/>
  <c r="C43" i="1"/>
  <c r="D42" i="1"/>
  <c r="E42" i="1"/>
  <c r="F42" i="1"/>
  <c r="G42" i="1"/>
  <c r="H42" i="1"/>
  <c r="I42" i="1"/>
  <c r="J31" i="6" s="1"/>
  <c r="J42" i="1"/>
  <c r="K42" i="1"/>
  <c r="C42" i="1"/>
  <c r="D41" i="1"/>
  <c r="E41" i="1"/>
  <c r="F41" i="1"/>
  <c r="G41" i="1"/>
  <c r="H41" i="1"/>
  <c r="I41" i="1"/>
  <c r="J41" i="1"/>
  <c r="K41" i="1"/>
  <c r="C41" i="1"/>
  <c r="D35" i="1"/>
  <c r="E35" i="1"/>
  <c r="F35" i="1"/>
  <c r="G35" i="1"/>
  <c r="H35" i="1"/>
  <c r="I35" i="1"/>
  <c r="J35" i="1"/>
  <c r="K35" i="1"/>
  <c r="D34" i="1"/>
  <c r="E34" i="1"/>
  <c r="E33" i="1"/>
  <c r="F34" i="1"/>
  <c r="G34" i="1"/>
  <c r="H34" i="1"/>
  <c r="I34" i="1"/>
  <c r="J34" i="1"/>
  <c r="K34" i="1"/>
  <c r="D33" i="1"/>
  <c r="E29" i="6" s="1"/>
  <c r="F33" i="1"/>
  <c r="H33" i="1"/>
  <c r="I33" i="1"/>
  <c r="J29" i="6" s="1"/>
  <c r="J33" i="1"/>
  <c r="K33" i="1"/>
  <c r="D82" i="1"/>
  <c r="E82" i="1"/>
  <c r="F82" i="1"/>
  <c r="G82" i="1"/>
  <c r="H82" i="1"/>
  <c r="I82" i="1"/>
  <c r="J82" i="1"/>
  <c r="K82" i="1"/>
  <c r="D66" i="1"/>
  <c r="D67" i="1"/>
  <c r="E66" i="1"/>
  <c r="E67" i="1" s="1"/>
  <c r="F66" i="1"/>
  <c r="F67" i="1" s="1"/>
  <c r="G66" i="1"/>
  <c r="G67" i="1" s="1"/>
  <c r="H66" i="1"/>
  <c r="H67" i="1" s="1"/>
  <c r="I66" i="1"/>
  <c r="I67" i="1" s="1"/>
  <c r="J66" i="1"/>
  <c r="J67" i="1" s="1"/>
  <c r="K66" i="1"/>
  <c r="K67" i="1" s="1"/>
  <c r="C66" i="1"/>
  <c r="C67" i="1"/>
  <c r="D65" i="1"/>
  <c r="E65" i="1"/>
  <c r="F10" i="6" s="1"/>
  <c r="F65" i="1"/>
  <c r="G35" i="6" s="1"/>
  <c r="G65" i="1"/>
  <c r="H10" i="6" s="1"/>
  <c r="H65" i="1"/>
  <c r="H83" i="1" s="1"/>
  <c r="H84" i="1" s="1"/>
  <c r="H86" i="1" s="1"/>
  <c r="I65" i="1"/>
  <c r="J10" i="6" s="1"/>
  <c r="J65" i="1"/>
  <c r="K65" i="1"/>
  <c r="L10" i="6"/>
  <c r="D45" i="1"/>
  <c r="E32" i="6" s="1"/>
  <c r="E45" i="1"/>
  <c r="F32" i="6" s="1"/>
  <c r="F45" i="1"/>
  <c r="G45" i="1"/>
  <c r="H32" i="6" s="1"/>
  <c r="H45" i="1"/>
  <c r="I32" i="6" s="1"/>
  <c r="I45" i="1"/>
  <c r="J32" i="6" s="1"/>
  <c r="J45" i="1"/>
  <c r="K45" i="1"/>
  <c r="L32" i="6"/>
  <c r="D37" i="1"/>
  <c r="E37" i="1"/>
  <c r="F30" i="6" s="1"/>
  <c r="F37" i="1"/>
  <c r="G30" i="6" s="1"/>
  <c r="G37" i="1"/>
  <c r="H30" i="6" s="1"/>
  <c r="H37" i="1"/>
  <c r="I37" i="1"/>
  <c r="J30" i="6"/>
  <c r="J37" i="1"/>
  <c r="K30" i="6" s="1"/>
  <c r="K37" i="1"/>
  <c r="L30" i="6" s="1"/>
  <c r="G31" i="6"/>
  <c r="L35" i="6"/>
  <c r="H35" i="6"/>
  <c r="D17" i="6"/>
  <c r="D18" i="6"/>
  <c r="D9" i="6"/>
  <c r="F57" i="6" l="1"/>
  <c r="K18" i="6"/>
  <c r="I49" i="6"/>
  <c r="F56" i="6"/>
  <c r="F58" i="6" s="1"/>
  <c r="G56" i="6"/>
  <c r="G58" i="6" s="1"/>
  <c r="G67" i="6" s="1"/>
  <c r="K23" i="6"/>
  <c r="K78" i="6" s="1"/>
  <c r="I79" i="6"/>
  <c r="D10" i="6"/>
  <c r="G73" i="6"/>
  <c r="I74" i="6"/>
  <c r="K9" i="6"/>
  <c r="F74" i="6"/>
  <c r="I48" i="1"/>
  <c r="F35" i="6"/>
  <c r="I53" i="6"/>
  <c r="I55" i="6" s="1"/>
  <c r="J35" i="6"/>
  <c r="H80" i="6"/>
  <c r="H83" i="6" s="1"/>
  <c r="I49" i="1"/>
  <c r="K31" i="6"/>
  <c r="L17" i="6"/>
  <c r="L18" i="6" s="1"/>
  <c r="G53" i="6"/>
  <c r="G55" i="6" s="1"/>
  <c r="F45" i="6"/>
  <c r="H14" i="6"/>
  <c r="H54" i="6" s="1"/>
  <c r="H66" i="6" s="1"/>
  <c r="I73" i="6"/>
  <c r="K48" i="6"/>
  <c r="C83" i="1"/>
  <c r="C84" i="1" s="1"/>
  <c r="C86" i="1" s="1"/>
  <c r="K83" i="1"/>
  <c r="K84" i="1" s="1"/>
  <c r="K86" i="1" s="1"/>
  <c r="H48" i="1"/>
  <c r="E23" i="6"/>
  <c r="I63" i="6"/>
  <c r="F78" i="6"/>
  <c r="G78" i="6"/>
  <c r="K49" i="6"/>
  <c r="I52" i="1"/>
  <c r="K49" i="1"/>
  <c r="I31" i="6"/>
  <c r="K60" i="6"/>
  <c r="I17" i="6"/>
  <c r="I18" i="6" s="1"/>
  <c r="H57" i="6"/>
  <c r="K54" i="6"/>
  <c r="I71" i="6"/>
  <c r="I29" i="6"/>
  <c r="J49" i="6"/>
  <c r="E9" i="6"/>
  <c r="H56" i="6"/>
  <c r="H20" i="6"/>
  <c r="H63" i="6" s="1"/>
  <c r="G14" i="6"/>
  <c r="F54" i="6" s="1"/>
  <c r="F53" i="6"/>
  <c r="D23" i="6"/>
  <c r="I23" i="6"/>
  <c r="I78" i="6" s="1"/>
  <c r="I81" i="6"/>
  <c r="I84" i="6" s="1"/>
  <c r="K57" i="6"/>
  <c r="C49" i="1"/>
  <c r="E83" i="1"/>
  <c r="E84" i="1" s="1"/>
  <c r="E86" i="1" s="1"/>
  <c r="G9" i="6"/>
  <c r="F49" i="6" s="1"/>
  <c r="G57" i="6"/>
  <c r="K56" i="6"/>
  <c r="K58" i="6" s="1"/>
  <c r="K67" i="6" s="1"/>
  <c r="G74" i="6"/>
  <c r="K73" i="6"/>
  <c r="H73" i="6"/>
  <c r="J80" i="6"/>
  <c r="J83" i="6" s="1"/>
  <c r="G80" i="6"/>
  <c r="G83" i="6" s="1"/>
  <c r="J81" i="6"/>
  <c r="J84" i="6" s="1"/>
  <c r="I6" i="4"/>
  <c r="C6" i="4"/>
  <c r="F6" i="4"/>
  <c r="J52" i="1"/>
  <c r="J48" i="1"/>
  <c r="F44" i="6"/>
  <c r="G44" i="6"/>
  <c r="F17" i="6"/>
  <c r="K52" i="1"/>
  <c r="F49" i="1"/>
  <c r="G32" i="6"/>
  <c r="I10" i="6"/>
  <c r="I35" i="6"/>
  <c r="D31" i="6"/>
  <c r="F31" i="6"/>
  <c r="E49" i="1"/>
  <c r="J17" i="6"/>
  <c r="I83" i="1"/>
  <c r="I84" i="1" s="1"/>
  <c r="I86" i="1" s="1"/>
  <c r="I56" i="6"/>
  <c r="J56" i="6"/>
  <c r="J58" i="6" s="1"/>
  <c r="J16" i="6"/>
  <c r="K80" i="6"/>
  <c r="K83" i="6" s="1"/>
  <c r="F43" i="6"/>
  <c r="K46" i="6"/>
  <c r="F48" i="1"/>
  <c r="F52" i="1"/>
  <c r="F48" i="6"/>
  <c r="G48" i="6"/>
  <c r="K47" i="6"/>
  <c r="J47" i="6"/>
  <c r="F46" i="6"/>
  <c r="G46" i="6"/>
  <c r="K45" i="6"/>
  <c r="J45" i="6"/>
  <c r="L31" i="6"/>
  <c r="H52" i="1"/>
  <c r="I30" i="6"/>
  <c r="J49" i="1"/>
  <c r="K32" i="6"/>
  <c r="D83" i="1"/>
  <c r="D84" i="1" s="1"/>
  <c r="D86" i="1" s="1"/>
  <c r="E35" i="6"/>
  <c r="E10" i="6"/>
  <c r="K29" i="6"/>
  <c r="G29" i="6"/>
  <c r="K48" i="1"/>
  <c r="L29" i="6"/>
  <c r="G49" i="6"/>
  <c r="H49" i="6"/>
  <c r="G83" i="1"/>
  <c r="G84" i="1" s="1"/>
  <c r="G86" i="1" s="1"/>
  <c r="H17" i="6"/>
  <c r="G54" i="6"/>
  <c r="G66" i="6" s="1"/>
  <c r="F66" i="6"/>
  <c r="J63" i="6"/>
  <c r="K63" i="6"/>
  <c r="F80" i="6"/>
  <c r="F83" i="6" s="1"/>
  <c r="G82" i="6"/>
  <c r="G85" i="6" s="1"/>
  <c r="F82" i="6"/>
  <c r="F85" i="6" s="1"/>
  <c r="K35" i="6"/>
  <c r="K10" i="6"/>
  <c r="J83" i="1"/>
  <c r="J84" i="1" s="1"/>
  <c r="J86" i="1" s="1"/>
  <c r="E48" i="1"/>
  <c r="E50" i="1" s="1"/>
  <c r="F29" i="6"/>
  <c r="E52" i="1"/>
  <c r="G18" i="6"/>
  <c r="G59" i="6"/>
  <c r="G61" i="6" s="1"/>
  <c r="J43" i="6"/>
  <c r="K43" i="6"/>
  <c r="D52" i="1"/>
  <c r="E30" i="6"/>
  <c r="D48" i="1"/>
  <c r="F83" i="1"/>
  <c r="F84" i="1" s="1"/>
  <c r="F86" i="1" s="1"/>
  <c r="G10" i="6"/>
  <c r="G49" i="1"/>
  <c r="H31" i="6"/>
  <c r="H49" i="1"/>
  <c r="H50" i="1" s="1"/>
  <c r="D49" i="1"/>
  <c r="E31" i="6"/>
  <c r="J14" i="6"/>
  <c r="J53" i="6"/>
  <c r="K74" i="6"/>
  <c r="J74" i="6"/>
  <c r="G81" i="6"/>
  <c r="G84" i="6" s="1"/>
  <c r="F81" i="6"/>
  <c r="F84" i="6" s="1"/>
  <c r="J62" i="6"/>
  <c r="J64" i="6" s="1"/>
  <c r="K62" i="6"/>
  <c r="K64" i="6" s="1"/>
  <c r="G62" i="6"/>
  <c r="G64" i="6" s="1"/>
  <c r="F62" i="6"/>
  <c r="F64" i="6" s="1"/>
  <c r="G20" i="6"/>
  <c r="G63" i="6" s="1"/>
  <c r="G48" i="1"/>
  <c r="G52" i="1"/>
  <c r="G72" i="6"/>
  <c r="H72" i="6"/>
  <c r="H71" i="6"/>
  <c r="G71" i="6"/>
  <c r="C52" i="1"/>
  <c r="C48" i="1"/>
  <c r="F47" i="6"/>
  <c r="K44" i="6"/>
  <c r="C50" i="1" l="1"/>
  <c r="G65" i="6"/>
  <c r="I50" i="1"/>
  <c r="I53" i="1" s="1"/>
  <c r="G3" i="4" s="1"/>
  <c r="K59" i="6"/>
  <c r="K61" i="6" s="1"/>
  <c r="F50" i="1"/>
  <c r="J78" i="6"/>
  <c r="K65" i="6"/>
  <c r="G50" i="1"/>
  <c r="G53" i="1" s="1"/>
  <c r="G88" i="1" s="1"/>
  <c r="E9" i="4" s="1"/>
  <c r="F63" i="6"/>
  <c r="H78" i="6"/>
  <c r="H58" i="6"/>
  <c r="H67" i="6" s="1"/>
  <c r="H65" i="6"/>
  <c r="K50" i="1"/>
  <c r="K53" i="1" s="1"/>
  <c r="I3" i="4" s="1"/>
  <c r="F55" i="6"/>
  <c r="F67" i="6" s="1"/>
  <c r="F65" i="6"/>
  <c r="K66" i="6"/>
  <c r="H6" i="4"/>
  <c r="I16" i="4" s="1"/>
  <c r="K68" i="6"/>
  <c r="K70" i="6" s="1"/>
  <c r="H53" i="1"/>
  <c r="J55" i="6"/>
  <c r="J67" i="6" s="1"/>
  <c r="J65" i="6"/>
  <c r="E53" i="1"/>
  <c r="H68" i="6"/>
  <c r="H70" i="6" s="1"/>
  <c r="H50" i="6"/>
  <c r="I50" i="6"/>
  <c r="J54" i="6"/>
  <c r="I54" i="6"/>
  <c r="D6" i="4"/>
  <c r="H18" i="6"/>
  <c r="H60" i="6" s="1"/>
  <c r="H59" i="6"/>
  <c r="H61" i="6" s="1"/>
  <c r="I58" i="6"/>
  <c r="I67" i="6" s="1"/>
  <c r="I65" i="6"/>
  <c r="F50" i="6"/>
  <c r="G50" i="6"/>
  <c r="F18" i="6"/>
  <c r="F60" i="6" s="1"/>
  <c r="F59" i="6"/>
  <c r="F61" i="6" s="1"/>
  <c r="D50" i="1"/>
  <c r="J50" i="6"/>
  <c r="K50" i="6"/>
  <c r="E6" i="4"/>
  <c r="F16" i="4" s="1"/>
  <c r="G6" i="4"/>
  <c r="I88" i="1"/>
  <c r="G9" i="4" s="1"/>
  <c r="F8" i="4"/>
  <c r="C16" i="4"/>
  <c r="D16" i="4"/>
  <c r="C8" i="4"/>
  <c r="F68" i="6"/>
  <c r="F70" i="6" s="1"/>
  <c r="C53" i="1"/>
  <c r="J82" i="6"/>
  <c r="J85" i="6" s="1"/>
  <c r="K82" i="6"/>
  <c r="K85" i="6" s="1"/>
  <c r="F53" i="1"/>
  <c r="I68" i="6"/>
  <c r="I70" i="6" s="1"/>
  <c r="J57" i="6"/>
  <c r="I57" i="6"/>
  <c r="J59" i="6"/>
  <c r="J61" i="6" s="1"/>
  <c r="J18" i="6"/>
  <c r="I59" i="6"/>
  <c r="I61" i="6" s="1"/>
  <c r="I82" i="6"/>
  <c r="I85" i="6" s="1"/>
  <c r="H82" i="6"/>
  <c r="H85" i="6" s="1"/>
  <c r="J50" i="1"/>
  <c r="J53" i="1" s="1"/>
  <c r="H3" i="4" s="1"/>
  <c r="J68" i="6" l="1"/>
  <c r="J70" i="6" s="1"/>
  <c r="J66" i="6"/>
  <c r="K88" i="1"/>
  <c r="I9" i="4" s="1"/>
  <c r="G60" i="6"/>
  <c r="G8" i="4"/>
  <c r="H16" i="4"/>
  <c r="D3" i="4"/>
  <c r="E15" i="4" s="1"/>
  <c r="I69" i="6"/>
  <c r="G11" i="4"/>
  <c r="I66" i="6"/>
  <c r="K69" i="6"/>
  <c r="F3" i="4"/>
  <c r="H88" i="1"/>
  <c r="F9" i="4" s="1"/>
  <c r="G16" i="4"/>
  <c r="G68" i="6"/>
  <c r="G70" i="6" s="1"/>
  <c r="D53" i="1"/>
  <c r="E16" i="4"/>
  <c r="J88" i="1"/>
  <c r="H9" i="4" s="1"/>
  <c r="C3" i="4"/>
  <c r="H69" i="6"/>
  <c r="E88" i="1"/>
  <c r="C9" i="4" s="1"/>
  <c r="I15" i="4"/>
  <c r="H15" i="4"/>
  <c r="J60" i="6"/>
  <c r="I60" i="6"/>
  <c r="F69" i="6"/>
  <c r="C88" i="1"/>
  <c r="F17" i="4"/>
  <c r="E3" i="4"/>
  <c r="J69" i="6"/>
  <c r="F88" i="1"/>
  <c r="D9" i="4" s="1"/>
  <c r="E17" i="4" s="1"/>
  <c r="I17" i="4" l="1"/>
  <c r="F15" i="4"/>
  <c r="C5" i="4"/>
  <c r="D15" i="4"/>
  <c r="C15" i="4"/>
  <c r="C17" i="4"/>
  <c r="D17" i="4"/>
  <c r="D19" i="4" s="1"/>
  <c r="C11" i="4"/>
  <c r="F11" i="4"/>
  <c r="G17" i="4"/>
  <c r="G19" i="4" s="1"/>
  <c r="H17" i="4"/>
  <c r="G69" i="6"/>
  <c r="D88" i="1"/>
  <c r="G15" i="4"/>
  <c r="F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murali</author>
  </authors>
  <commentList>
    <comment ref="K15" authorId="0" shapeId="0" xr:uid="{00000000-0006-0000-0300-000003000000}">
      <text>
        <r>
          <rPr>
            <b/>
            <sz val="9"/>
            <color indexed="81"/>
            <rFont val="Tahoma"/>
            <family val="2"/>
          </rPr>
          <t>murali:</t>
        </r>
        <r>
          <rPr>
            <sz val="9"/>
            <color indexed="81"/>
            <rFont val="Tahoma"/>
            <family val="2"/>
          </rPr>
          <t xml:space="preserve">
Provisional Coal Statistics 2014-15 
Table 2.15</t>
        </r>
      </text>
    </comment>
    <comment ref="C63" authorId="0" shapeId="0" xr:uid="{00000000-0006-0000-0300-000014000000}">
      <text>
        <r>
          <rPr>
            <b/>
            <sz val="9"/>
            <color indexed="81"/>
            <rFont val="Tahoma"/>
            <family val="2"/>
          </rPr>
          <t>murali:</t>
        </r>
        <r>
          <rPr>
            <sz val="9"/>
            <color indexed="81"/>
            <rFont val="Tahoma"/>
            <family val="2"/>
          </rPr>
          <t xml:space="preserve">
13% average based on trends</t>
        </r>
      </text>
    </comment>
  </commentList>
</comments>
</file>

<file path=xl/sharedStrings.xml><?xml version="1.0" encoding="utf-8"?>
<sst xmlns="http://schemas.openxmlformats.org/spreadsheetml/2006/main" count="499" uniqueCount="238">
  <si>
    <t>2007-08</t>
  </si>
  <si>
    <t>2008-09</t>
  </si>
  <si>
    <t>2009-10</t>
  </si>
  <si>
    <t>2010-11</t>
  </si>
  <si>
    <t>2011-12</t>
  </si>
  <si>
    <t>Coal Production (Mt)</t>
  </si>
  <si>
    <t>FUGITIVE EMISSIONS FROM FUELS</t>
  </si>
  <si>
    <t xml:space="preserve">SOLID FUELS </t>
  </si>
  <si>
    <t>Coal Mining and Handling</t>
  </si>
  <si>
    <t>Oil</t>
  </si>
  <si>
    <t>Table 16.3 : PRODUCTION OF COAL, COAL DERIVATIVES &amp; COAL
 BY-PRODUCTS</t>
  </si>
  <si>
    <t>(Million tonnes)</t>
  </si>
  <si>
    <t>Year</t>
  </si>
  <si>
    <t>Coal</t>
  </si>
  <si>
    <t>Coal Derivatives and Coal By-products</t>
  </si>
  <si>
    <t>Coking</t>
  </si>
  <si>
    <t>Non-coking</t>
  </si>
  <si>
    <t>Total</t>
  </si>
  <si>
    <t>Hard Coke</t>
  </si>
  <si>
    <t>Washed coke</t>
  </si>
  <si>
    <t>2000-01</t>
  </si>
  <si>
    <t xml:space="preserve">2001-02 </t>
  </si>
  <si>
    <t xml:space="preserve">2002-03 </t>
  </si>
  <si>
    <t>2003-04</t>
  </si>
  <si>
    <t>2004-05</t>
  </si>
  <si>
    <t>2005-06</t>
  </si>
  <si>
    <t>2006-07</t>
  </si>
  <si>
    <t>2012-13</t>
  </si>
  <si>
    <t>2013-14(P)</t>
  </si>
  <si>
    <t>Source:  Energy Statistics 2014,Central Statistics Office, M/o Statistics &amp; PI</t>
  </si>
  <si>
    <t>P- Provisional</t>
  </si>
  <si>
    <t>Data from MOSPI</t>
  </si>
  <si>
    <t xml:space="preserve">Contribution of UG Mines </t>
  </si>
  <si>
    <t xml:space="preserve">Contribution of OC Mines </t>
  </si>
  <si>
    <t>UG Mines</t>
  </si>
  <si>
    <t xml:space="preserve">Mining </t>
  </si>
  <si>
    <t>Deg I</t>
  </si>
  <si>
    <t>Deg II</t>
  </si>
  <si>
    <t>Deg III</t>
  </si>
  <si>
    <t>Post-Mining</t>
  </si>
  <si>
    <t>Methane EF (m3 CH4/ton)</t>
  </si>
  <si>
    <t>PRODUCTION</t>
  </si>
  <si>
    <t>EMISSION FACTORS</t>
  </si>
  <si>
    <t>EMISSION</t>
  </si>
  <si>
    <t>UG Mining (million m3 CH4)</t>
  </si>
  <si>
    <t>Mining</t>
  </si>
  <si>
    <t>OC Mining (million m3 CH4)</t>
  </si>
  <si>
    <t>OC Mines</t>
  </si>
  <si>
    <t xml:space="preserve">Conversion Factors </t>
  </si>
  <si>
    <t>1 m3 CH4 = 0.6802 kg CH4</t>
  </si>
  <si>
    <t>1 m3 CH4 = 0.01428 tCO2e</t>
  </si>
  <si>
    <t>Deg I (degree of gassiness)</t>
  </si>
  <si>
    <t xml:space="preserve">Post Mining </t>
  </si>
  <si>
    <t>UG Mines  (million m3 CH4)</t>
  </si>
  <si>
    <t>OC Mines (million m3 CH4)</t>
  </si>
  <si>
    <t>Post Mining</t>
  </si>
  <si>
    <t>TOTAL</t>
  </si>
  <si>
    <t>CH4 Emissions (Mt CH4)</t>
  </si>
  <si>
    <t xml:space="preserve">Oil and Gas </t>
  </si>
  <si>
    <t>CH4 Emissions (MtCO2e)</t>
  </si>
  <si>
    <t xml:space="preserve"> - Using GWP factor</t>
  </si>
  <si>
    <t>No of Wells</t>
  </si>
  <si>
    <t>Gg/well</t>
  </si>
  <si>
    <t>Oil Production</t>
  </si>
  <si>
    <t>Gg/'000 tons</t>
  </si>
  <si>
    <t>Refinery Throughput</t>
  </si>
  <si>
    <t>x10^-5 Gg/Mt</t>
  </si>
  <si>
    <t xml:space="preserve">Gas Production </t>
  </si>
  <si>
    <t>Gg/MMCM</t>
  </si>
  <si>
    <t>Gas Processing</t>
  </si>
  <si>
    <t>Gas distribution</t>
  </si>
  <si>
    <t xml:space="preserve">Leakage </t>
  </si>
  <si>
    <t>Flaring</t>
  </si>
  <si>
    <t>Oil Porduction ('000 tonnes)</t>
  </si>
  <si>
    <t>Natural Gas Production (MMCM)</t>
  </si>
  <si>
    <t>(in MMSCM)</t>
  </si>
  <si>
    <t>2013-14</t>
  </si>
  <si>
    <t>2014-15</t>
  </si>
  <si>
    <t>ONGC+OIL</t>
  </si>
  <si>
    <t>Gross Production (GP)</t>
  </si>
  <si>
    <t>Net Production</t>
  </si>
  <si>
    <t xml:space="preserve">Private / JVCs </t>
  </si>
  <si>
    <t>Gas Production from PPAC</t>
  </si>
  <si>
    <t>Refinery Capacity ('000 tonnes)</t>
  </si>
  <si>
    <t>Refinery Throughput (MMTA)</t>
  </si>
  <si>
    <t>Refinery Capacity and Refinery Throughput</t>
  </si>
  <si>
    <t>PRODUCTION &amp; CAPACITY</t>
  </si>
  <si>
    <t>Number of Wells</t>
  </si>
  <si>
    <t>Natural Gas Consumption (MMCM)</t>
  </si>
  <si>
    <t>Flarred NG</t>
  </si>
  <si>
    <t>NG Leakage</t>
  </si>
  <si>
    <t>GOR</t>
  </si>
  <si>
    <t>Oil Production (MMCM)</t>
  </si>
  <si>
    <t>CH4 (Oil)</t>
  </si>
  <si>
    <t>CH4(Gas)</t>
  </si>
  <si>
    <t>EMISSIONS (Mt CH4)</t>
  </si>
  <si>
    <t>Sub-Total</t>
  </si>
  <si>
    <t>TOTAL (Mt CO2e)</t>
  </si>
  <si>
    <t xml:space="preserve">Assumption </t>
  </si>
  <si>
    <t>Due to lack of data, we have assumed that the degree of gassiness in under ground mining is 33.3% across all the three degrees</t>
  </si>
  <si>
    <t xml:space="preserve"> </t>
  </si>
  <si>
    <t>NG distribution (MMCM)</t>
  </si>
  <si>
    <t xml:space="preserve">SUMMARY </t>
  </si>
  <si>
    <t xml:space="preserve">Oil and Natural Gas </t>
  </si>
  <si>
    <t>Solid Fuels</t>
  </si>
  <si>
    <t>CSTEP</t>
  </si>
  <si>
    <t>MOSPI</t>
  </si>
  <si>
    <t>MOC</t>
  </si>
  <si>
    <t>MOPNG</t>
  </si>
  <si>
    <t>MOEF</t>
  </si>
  <si>
    <t>TEDDY</t>
  </si>
  <si>
    <t xml:space="preserve">SOURCE </t>
  </si>
  <si>
    <t>FUGITIVE EMISSIONS (MtCO2e)</t>
  </si>
  <si>
    <t>Re-injected (internal use)</t>
  </si>
  <si>
    <t>Calendar Year Emissions (Mt CO2e)</t>
  </si>
  <si>
    <t>Oil and Natural Gas</t>
  </si>
  <si>
    <t xml:space="preserve">Total </t>
  </si>
  <si>
    <t>CH4 emissions</t>
  </si>
  <si>
    <t>CO2 eq</t>
  </si>
  <si>
    <t>NG production</t>
  </si>
  <si>
    <t>NG distribution</t>
  </si>
  <si>
    <t>Oil refining</t>
  </si>
  <si>
    <t>Activity</t>
  </si>
  <si>
    <t>Emissions ('000 t)</t>
  </si>
  <si>
    <t>Calender year</t>
  </si>
  <si>
    <t xml:space="preserve">Oil Production </t>
  </si>
  <si>
    <t>CO2 eq (GWP)</t>
  </si>
  <si>
    <t>CO2 eq (GTP)</t>
  </si>
  <si>
    <t>Coal production</t>
  </si>
  <si>
    <t>Oil and Natural Gas Production (ktoe)</t>
  </si>
  <si>
    <t>Oil Refining (ktoe)</t>
  </si>
  <si>
    <t>Oil  Production (ktoe)</t>
  </si>
  <si>
    <t>Natural Gas Production (ktoe)</t>
  </si>
  <si>
    <t>Emissions ( t)</t>
  </si>
  <si>
    <t>Oil and NG production</t>
  </si>
  <si>
    <t>UG mines(t)</t>
  </si>
  <si>
    <t>OC mines (t)</t>
  </si>
  <si>
    <t>Underground</t>
  </si>
  <si>
    <t>Surface</t>
  </si>
  <si>
    <t>Profile %</t>
  </si>
  <si>
    <t>Underground-mining</t>
  </si>
  <si>
    <t>Underground-post mining</t>
  </si>
  <si>
    <t>CH4 Emission Factors (m³CH4/t)</t>
  </si>
  <si>
    <t>Flarred NG (MMSCM)</t>
  </si>
  <si>
    <t>NG Leakage (MMSCM)</t>
  </si>
  <si>
    <t>Natural Gas Consumption (MMSCM)</t>
  </si>
  <si>
    <t xml:space="preserve">Natural Gas Consumption </t>
  </si>
  <si>
    <t xml:space="preserve">Flarred NG </t>
  </si>
  <si>
    <t xml:space="preserve">NG Leakage </t>
  </si>
  <si>
    <t>CH4 emissions (t)</t>
  </si>
  <si>
    <t>Variation</t>
  </si>
  <si>
    <t>MoEF/CC</t>
  </si>
  <si>
    <t>UG- Mining</t>
  </si>
  <si>
    <t>OC-Post mining</t>
  </si>
  <si>
    <t>Million m3 CH4</t>
  </si>
  <si>
    <t>OC-mining</t>
  </si>
  <si>
    <t>UG-Post mining</t>
  </si>
  <si>
    <t>Open Cast</t>
  </si>
  <si>
    <t>Under Ground</t>
  </si>
  <si>
    <t>Raw Coal</t>
  </si>
  <si>
    <t>YEAR</t>
  </si>
  <si>
    <t>Production</t>
  </si>
  <si>
    <t>by CIL</t>
  </si>
  <si>
    <t>by SCCL</t>
  </si>
  <si>
    <t>All India</t>
  </si>
  <si>
    <t xml:space="preserve">Table - 2.10 TRENDS OF PRODUCTION OF RAW COAL FROM OPENCAST AND UNDERGROUND MINES IN LAST TEN YEARS </t>
  </si>
  <si>
    <t>(Million Tonnes)</t>
  </si>
  <si>
    <t>All India OC Share (%)</t>
  </si>
  <si>
    <t>Growth (%)</t>
  </si>
  <si>
    <t>All India OC Growth (%)</t>
  </si>
  <si>
    <t>All India UG Share (%)</t>
  </si>
  <si>
    <t>All India UG Growth (%)</t>
  </si>
  <si>
    <r>
      <t xml:space="preserve">Net Production </t>
    </r>
    <r>
      <rPr>
        <b/>
        <vertAlign val="superscript"/>
        <sz val="12"/>
        <rFont val="Times New Roman"/>
        <family val="1"/>
      </rPr>
      <t>1</t>
    </r>
  </si>
  <si>
    <t>Table-1: Crude Oil and Natural Gas Production</t>
  </si>
  <si>
    <t xml:space="preserve"> % Growth</t>
  </si>
  <si>
    <t>Natural Gas Production (BCM)</t>
  </si>
  <si>
    <t xml:space="preserve">% Growth </t>
  </si>
  <si>
    <t xml:space="preserve">Year </t>
  </si>
  <si>
    <t xml:space="preserve">Crude Oil Production (MMT) </t>
  </si>
  <si>
    <t xml:space="preserve">2007-08  </t>
  </si>
  <si>
    <t xml:space="preserve">2008-09 </t>
  </si>
  <si>
    <t xml:space="preserve">2009-10 </t>
  </si>
  <si>
    <t xml:space="preserve">2010-11 </t>
  </si>
  <si>
    <t>2012-2013</t>
  </si>
  <si>
    <t>2013-2014*</t>
  </si>
  <si>
    <t>Table-2: Refinery Capacity &amp; Refinery Crude Throughput (in terms of Crude Oil Processed)</t>
  </si>
  <si>
    <t>Refining Capacity @ (MMTPA)</t>
  </si>
  <si>
    <t>% Growth in Refining Capacity</t>
  </si>
  <si>
    <t>Crude Throughput (MMTA)</t>
  </si>
  <si>
    <t>% Growth in Crude Throughput</t>
  </si>
  <si>
    <t>*Provisional   @: As on 1st april of initial year</t>
  </si>
  <si>
    <t>II.2 Exploratory &amp; Development Drilling by Oil Companies</t>
  </si>
  <si>
    <t>Exploratory</t>
  </si>
  <si>
    <t>Development</t>
  </si>
  <si>
    <t>Wells (No.s)</t>
  </si>
  <si>
    <t>Metreage ('000')</t>
  </si>
  <si>
    <t xml:space="preserve"> 2008-09 </t>
  </si>
  <si>
    <t xml:space="preserve"> 2009-10 </t>
  </si>
  <si>
    <t xml:space="preserve"> 2011-12*</t>
  </si>
  <si>
    <t xml:space="preserve">  2007-08  </t>
  </si>
  <si>
    <t>(A) Onshore</t>
  </si>
  <si>
    <t>(B) Offshore</t>
  </si>
  <si>
    <t>Total (A+B)</t>
  </si>
  <si>
    <t xml:space="preserve">Note:*: Provisional </t>
  </si>
  <si>
    <t>Source: Oil &amp; Natural Gas Corpn. Ltd. , Oil India Ltd. and DGH</t>
  </si>
  <si>
    <t>Source: Provisional Coal Statistics 2013-14</t>
  </si>
  <si>
    <t>Sector</t>
  </si>
  <si>
    <t xml:space="preserve">Electricity Generation and Energy </t>
  </si>
  <si>
    <t>Time Series</t>
  </si>
  <si>
    <t>2007-2012</t>
  </si>
  <si>
    <t>Level of Disaggregation</t>
  </si>
  <si>
    <t>National level data</t>
  </si>
  <si>
    <t>Sub-sector Disaggregation</t>
  </si>
  <si>
    <t>Electricity, Fugitive, Transport, Others - Residential, Commercial &amp; Agriculture</t>
  </si>
  <si>
    <t>Sector Description</t>
  </si>
  <si>
    <t>About GHG Platform</t>
  </si>
  <si>
    <t>Lead Institution</t>
  </si>
  <si>
    <t>Contact Details</t>
  </si>
  <si>
    <t>Usage Policy</t>
  </si>
  <si>
    <t>Citation</t>
  </si>
  <si>
    <t>Disclaimer</t>
  </si>
  <si>
    <t>info@ghgplatform-india.org, sahil@cstep.in</t>
  </si>
  <si>
    <t>Version</t>
  </si>
  <si>
    <t>1.0 Posted on July 15, 2016</t>
  </si>
  <si>
    <t>CSTEP has analysed emissions from energy production and use in the Electricity Generation, Transportation and Other (Residential, Commercial, Agriculture and Fisheries) sectors. Together these constitute over 60% of India’s emissions. Emissions from energy use in fuel production (mining and refineries) have been reported in Industry but fugitive emissions have been reported in Energy, as per IPCC 2006 guidelines. The data used has been sourced from public sources to the extent possible. Assumptions and methodologies have been made transparent for further analysis outside the GHG Platform India. The exercise forms the basis to measure India’s climate performance and stimulate data-driven policy decisions.</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</si>
  <si>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</si>
  <si>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Center for Study of Science, Technology and Policy (CSTEP)</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</si>
  <si>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</si>
  <si>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 xml:space="preserve">"The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  </t>
  </si>
  <si>
    <t>Tabs</t>
  </si>
  <si>
    <t>Description</t>
  </si>
  <si>
    <t>Fugitive Emissions</t>
  </si>
  <si>
    <t>Coal Raw Data</t>
  </si>
  <si>
    <t>Oil and Gas Raw Data</t>
  </si>
  <si>
    <t>Calculations</t>
  </si>
  <si>
    <t xml:space="preserve">Fugitive emissions from fuels and solid fuels, emission and conversion factors </t>
  </si>
  <si>
    <t>Emission calculation (all gases) 2007-12</t>
  </si>
  <si>
    <t xml:space="preserve">Ali, Mohd. Sahil., Rachel, R., Lakshmi, A., Ananthakumar, Murali R., (2016). Energy Emissions. Version 1.0 dated July 15, 2016, from GHG platform India: GHG platform INDIA-2007-2012 National Estimates-2016 Series http://ghgplatform-india.org/data-and-emissions/energy.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</si>
</sst>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_-* #,##0.00_-;\-* #,##0.00_-;_-* &quot;-&quot;??_-;_-@_-"/>
    <numFmt numFmtId="166" formatCode="0.000"/>
    <numFmt numFmtId="167" formatCode="0.0"/>
  </numFmts>
  <fonts count="56">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0"/>
      <name val="Courier"/>
      <family val="3"/>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sz val="10"/>
      <name val="Arial"/>
      <family val="2"/>
    </font>
    <font>
      <b/>
      <sz val="10"/>
      <color indexed="63"/>
      <name val="Arial"/>
      <family val="2"/>
    </font>
    <font>
      <b/>
      <sz val="10"/>
      <name val="Arial"/>
      <family val="2"/>
    </font>
    <font>
      <b/>
      <sz val="18"/>
      <color indexed="56"/>
      <name val="Cambria"/>
      <family val="2"/>
    </font>
    <font>
      <b/>
      <sz val="10"/>
      <color indexed="8"/>
      <name val="Arial"/>
      <family val="2"/>
    </font>
    <font>
      <sz val="10"/>
      <color indexed="10"/>
      <name val="Arial"/>
      <family val="2"/>
    </font>
    <font>
      <b/>
      <sz val="12"/>
      <name val="Times New Roman"/>
      <family val="1"/>
    </font>
    <font>
      <b/>
      <sz val="12"/>
      <color indexed="8"/>
      <name val="Times New Roman"/>
      <family val="1"/>
    </font>
    <font>
      <sz val="10"/>
      <name val="Helv"/>
    </font>
    <font>
      <sz val="11"/>
      <name val="Times"/>
      <family val="1"/>
    </font>
    <font>
      <sz val="9"/>
      <name val="FrankLinGothicCond"/>
    </font>
    <font>
      <b/>
      <sz val="11"/>
      <name val="FranklinGothicCond"/>
    </font>
    <font>
      <sz val="8"/>
      <name val="FrankLinGothicCond"/>
    </font>
    <font>
      <b/>
      <sz val="8"/>
      <name val="FrankLinGothicCond"/>
    </font>
    <font>
      <i/>
      <sz val="9"/>
      <name val="FrankLinGothicCond"/>
    </font>
    <font>
      <b/>
      <sz val="9"/>
      <name val="FrankLinGothicCond"/>
    </font>
    <font>
      <b/>
      <i/>
      <sz val="9"/>
      <name val="FrankLinGothicCond"/>
    </font>
    <font>
      <sz val="8"/>
      <name val="Arial"/>
      <family val="2"/>
    </font>
    <font>
      <sz val="11"/>
      <color theme="1"/>
      <name val="Arial"/>
      <family val="2"/>
    </font>
    <font>
      <sz val="12"/>
      <color theme="1"/>
      <name val="Times New Roman"/>
      <family val="1"/>
    </font>
    <font>
      <sz val="12"/>
      <name val="Times New Roman"/>
      <family val="1"/>
    </font>
    <font>
      <b/>
      <u/>
      <sz val="12"/>
      <name val="Times New Roman"/>
      <family val="1"/>
    </font>
    <font>
      <sz val="12"/>
      <color indexed="8"/>
      <name val="Times New Roman"/>
      <family val="1"/>
    </font>
    <font>
      <b/>
      <vertAlign val="superscript"/>
      <sz val="12"/>
      <name val="Times New Roman"/>
      <family val="1"/>
    </font>
    <font>
      <b/>
      <sz val="12"/>
      <color theme="1"/>
      <name val="Times New Roman"/>
      <family val="1"/>
    </font>
    <font>
      <b/>
      <i/>
      <sz val="12"/>
      <color theme="1"/>
      <name val="Times New Roman"/>
      <family val="1"/>
    </font>
    <font>
      <sz val="12"/>
      <color indexed="9"/>
      <name val="Times New Roman"/>
      <family val="1"/>
    </font>
    <font>
      <i/>
      <sz val="12"/>
      <color theme="1"/>
      <name val="Times New Roman"/>
      <family val="1"/>
    </font>
    <font>
      <u/>
      <sz val="11"/>
      <color theme="10"/>
      <name val="Calibri"/>
      <family val="2"/>
    </font>
    <font>
      <sz val="15"/>
      <color theme="1"/>
      <name val="Times New Roman"/>
    </font>
    <font>
      <b/>
      <sz val="15"/>
      <name val="Times New Roman"/>
    </font>
    <font>
      <sz val="15"/>
      <name val="Times New Roman"/>
    </font>
    <font>
      <sz val="15"/>
      <color rgb="FF1F497D"/>
      <name val="Times New Roman"/>
    </font>
    <font>
      <u/>
      <sz val="15"/>
      <color theme="10"/>
      <name val="Times New Roman"/>
    </font>
    <font>
      <b/>
      <sz val="15"/>
      <name val="Times New Roman"/>
      <family val="1"/>
    </font>
    <font>
      <sz val="15"/>
      <color theme="1"/>
      <name val="Times New Roman"/>
      <family val="1"/>
    </font>
    <font>
      <sz val="15"/>
      <name val="Times New Roman"/>
      <family val="1"/>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8"/>
        <bgColor indexed="64"/>
      </patternFill>
    </fill>
    <fill>
      <patternFill patternType="solid">
        <fgColor rgb="FF996633"/>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medium">
        <color auto="1"/>
      </left>
      <right style="dotted">
        <color auto="1"/>
      </right>
      <top style="medium">
        <color auto="1"/>
      </top>
      <bottom style="dotted">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indexed="64"/>
      </left>
      <right style="medium">
        <color indexed="64"/>
      </right>
      <top style="medium">
        <color indexed="64"/>
      </top>
      <bottom style="medium">
        <color indexed="64"/>
      </bottom>
      <diagonal/>
    </border>
    <border>
      <left/>
      <right style="medium">
        <color indexed="64"/>
      </right>
      <top/>
      <bottom style="dotted">
        <color indexed="64"/>
      </bottom>
      <diagonal/>
    </border>
    <border>
      <left style="medium">
        <color indexed="64"/>
      </left>
      <right style="dotted">
        <color indexed="64"/>
      </right>
      <top/>
      <bottom/>
      <diagonal/>
    </border>
    <border>
      <left/>
      <right style="medium">
        <color indexed="64"/>
      </right>
      <top style="dotted">
        <color indexed="64"/>
      </top>
      <bottom style="dotted">
        <color indexed="64"/>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s>
  <cellStyleXfs count="86">
    <xf numFmtId="0" fontId="0" fillId="0" borderId="0"/>
    <xf numFmtId="9" fontId="1" fillId="0" borderId="0" applyFont="0" applyFill="0" applyBorder="0" applyAlignment="0" applyProtection="0"/>
    <xf numFmtId="0" fontId="4"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9" borderId="0" applyNumberFormat="0" applyBorder="0" applyAlignment="0" applyProtection="0"/>
    <xf numFmtId="0" fontId="8" fillId="3" borderId="0" applyNumberFormat="0" applyBorder="0" applyAlignment="0" applyProtection="0"/>
    <xf numFmtId="0" fontId="9" fillId="20" borderId="1" applyNumberFormat="0" applyAlignment="0" applyProtection="0"/>
    <xf numFmtId="0" fontId="10" fillId="21" borderId="2" applyNumberFormat="0" applyAlignment="0" applyProtection="0"/>
    <xf numFmtId="164" fontId="5"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17" fillId="0" borderId="6" applyNumberFormat="0" applyFill="0" applyAlignment="0" applyProtection="0"/>
    <xf numFmtId="0" fontId="18" fillId="22" borderId="0" applyNumberFormat="0" applyBorder="0" applyAlignment="0" applyProtection="0"/>
    <xf numFmtId="0" fontId="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 fillId="0" borderId="0"/>
    <xf numFmtId="0" fontId="19" fillId="23" borderId="7" applyNumberFormat="0" applyFont="0" applyAlignment="0" applyProtection="0"/>
    <xf numFmtId="0" fontId="20" fillId="20" borderId="8" applyNumberFormat="0" applyAlignment="0" applyProtection="0"/>
    <xf numFmtId="0" fontId="21" fillId="0" borderId="0" applyNumberFormat="0" applyFill="0" applyBorder="0" applyProtection="0"/>
    <xf numFmtId="0" fontId="21" fillId="0" borderId="0" applyNumberFormat="0" applyFill="0" applyBorder="0" applyProtection="0">
      <alignment horizontal="right"/>
    </xf>
    <xf numFmtId="0" fontId="19" fillId="0" borderId="0" applyNumberFormat="0" applyFont="0" applyFill="0" applyBorder="0" applyProtection="0">
      <alignment horizontal="right"/>
    </xf>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27" fillId="0" borderId="0"/>
    <xf numFmtId="0" fontId="27" fillId="0" borderId="0"/>
    <xf numFmtId="0" fontId="33" fillId="0" borderId="10">
      <alignment horizontal="right" wrapText="1"/>
    </xf>
    <xf numFmtId="3" fontId="29" fillId="0" borderId="0">
      <alignment horizontal="right"/>
    </xf>
    <xf numFmtId="0" fontId="29" fillId="0" borderId="0">
      <alignment horizontal="left"/>
    </xf>
    <xf numFmtId="0" fontId="31" fillId="0" borderId="0">
      <alignment wrapText="1"/>
    </xf>
    <xf numFmtId="0" fontId="36" fillId="0" borderId="0"/>
    <xf numFmtId="0" fontId="19" fillId="0" borderId="0"/>
    <xf numFmtId="0" fontId="37" fillId="0" borderId="0"/>
    <xf numFmtId="0" fontId="27" fillId="0" borderId="0"/>
    <xf numFmtId="0" fontId="27" fillId="0" borderId="0"/>
    <xf numFmtId="0" fontId="27" fillId="0" borderId="20"/>
    <xf numFmtId="0" fontId="29" fillId="0" borderId="0" applyBorder="0">
      <alignment horizontal="left" vertical="center" wrapText="1"/>
    </xf>
    <xf numFmtId="0" fontId="34" fillId="0" borderId="0" applyBorder="0">
      <alignment horizontal="left" vertical="center" wrapText="1"/>
    </xf>
    <xf numFmtId="0" fontId="35" fillId="0" borderId="0" applyBorder="0">
      <alignment horizontal="left" vertical="center" wrapText="1"/>
    </xf>
    <xf numFmtId="0" fontId="27" fillId="0" borderId="0"/>
    <xf numFmtId="0" fontId="31" fillId="0" borderId="0"/>
    <xf numFmtId="0" fontId="32" fillId="0" borderId="0">
      <alignment vertical="top"/>
    </xf>
    <xf numFmtId="0" fontId="27" fillId="0" borderId="0"/>
    <xf numFmtId="0" fontId="28" fillId="0" borderId="0"/>
    <xf numFmtId="0" fontId="28" fillId="0" borderId="0"/>
    <xf numFmtId="0" fontId="30" fillId="0" borderId="0">
      <alignment vertical="center"/>
    </xf>
    <xf numFmtId="164" fontId="1" fillId="0" borderId="0" applyFont="0" applyFill="0" applyBorder="0" applyAlignment="0" applyProtection="0"/>
    <xf numFmtId="165" fontId="1" fillId="0" borderId="0" applyFont="0" applyFill="0" applyBorder="0" applyAlignment="0" applyProtection="0"/>
    <xf numFmtId="0" fontId="47" fillId="0" borderId="0" applyNumberFormat="0" applyFill="0" applyBorder="0" applyAlignment="0" applyProtection="0">
      <alignment vertical="top"/>
      <protection locked="0"/>
    </xf>
  </cellStyleXfs>
  <cellXfs count="269">
    <xf numFmtId="0" fontId="0" fillId="0" borderId="0" xfId="0"/>
    <xf numFmtId="0" fontId="25" fillId="0" borderId="21" xfId="0" applyFont="1" applyFill="1" applyBorder="1" applyAlignment="1">
      <alignment horizontal="left" vertical="top"/>
    </xf>
    <xf numFmtId="0" fontId="38" fillId="0" borderId="0" xfId="0" applyFont="1" applyFill="1"/>
    <xf numFmtId="0" fontId="38" fillId="0" borderId="26" xfId="0" applyFont="1" applyFill="1" applyBorder="1"/>
    <xf numFmtId="0" fontId="39" fillId="0" borderId="11" xfId="52" applyFont="1" applyFill="1" applyBorder="1"/>
    <xf numFmtId="0" fontId="39" fillId="0" borderId="0" xfId="52" applyFont="1" applyFill="1" applyBorder="1"/>
    <xf numFmtId="0" fontId="26" fillId="0" borderId="0" xfId="52" applyFont="1" applyFill="1" applyBorder="1" applyAlignment="1">
      <alignment wrapText="1"/>
    </xf>
    <xf numFmtId="0" fontId="39" fillId="0" borderId="26" xfId="52" applyFont="1" applyFill="1" applyBorder="1"/>
    <xf numFmtId="0" fontId="26" fillId="0" borderId="10" xfId="52" applyFont="1" applyFill="1" applyBorder="1" applyAlignment="1">
      <alignment horizontal="center"/>
    </xf>
    <xf numFmtId="0" fontId="25" fillId="0" borderId="10" xfId="52" applyFont="1" applyFill="1" applyBorder="1" applyAlignment="1">
      <alignment horizontal="center"/>
    </xf>
    <xf numFmtId="0" fontId="25" fillId="0" borderId="27" xfId="52" applyFont="1" applyFill="1" applyBorder="1" applyAlignment="1">
      <alignment horizontal="center"/>
    </xf>
    <xf numFmtId="0" fontId="26" fillId="0" borderId="11" xfId="52" applyFont="1" applyFill="1" applyBorder="1" applyAlignment="1">
      <alignment horizontal="center"/>
    </xf>
    <xf numFmtId="0" fontId="25" fillId="0" borderId="11" xfId="52" applyFont="1" applyFill="1" applyBorder="1" applyAlignment="1">
      <alignment horizontal="center"/>
    </xf>
    <xf numFmtId="0" fontId="25" fillId="0" borderId="22" xfId="52" applyFont="1" applyFill="1" applyBorder="1" applyAlignment="1">
      <alignment horizontal="center"/>
    </xf>
    <xf numFmtId="0" fontId="26" fillId="0" borderId="0" xfId="52" applyFont="1" applyFill="1" applyBorder="1" applyAlignment="1">
      <alignment horizontal="center"/>
    </xf>
    <xf numFmtId="4" fontId="41" fillId="0" borderId="0" xfId="30" applyNumberFormat="1" applyFont="1" applyFill="1" applyBorder="1" applyAlignment="1">
      <alignment horizontal="center"/>
    </xf>
    <xf numFmtId="4" fontId="41" fillId="0" borderId="26" xfId="30" applyNumberFormat="1" applyFont="1" applyFill="1" applyBorder="1" applyAlignment="1">
      <alignment horizontal="center"/>
    </xf>
    <xf numFmtId="4" fontId="41" fillId="0" borderId="0" xfId="30" applyNumberFormat="1" applyFont="1" applyFill="1" applyBorder="1" applyAlignment="1">
      <alignment horizontal="center" vertical="center"/>
    </xf>
    <xf numFmtId="4" fontId="41" fillId="0" borderId="26" xfId="30" applyNumberFormat="1" applyFont="1" applyFill="1" applyBorder="1" applyAlignment="1">
      <alignment horizontal="center" vertical="center"/>
    </xf>
    <xf numFmtId="4" fontId="26" fillId="0" borderId="26" xfId="30" applyNumberFormat="1" applyFont="1" applyFill="1" applyBorder="1" applyAlignment="1">
      <alignment horizontal="center" vertical="center"/>
    </xf>
    <xf numFmtId="4" fontId="41" fillId="0" borderId="10" xfId="30" applyNumberFormat="1" applyFont="1" applyFill="1" applyBorder="1" applyAlignment="1">
      <alignment horizontal="center" vertical="center"/>
    </xf>
    <xf numFmtId="4" fontId="41" fillId="0" borderId="10" xfId="30" applyNumberFormat="1" applyFont="1" applyFill="1" applyBorder="1" applyAlignment="1">
      <alignment horizontal="center"/>
    </xf>
    <xf numFmtId="4" fontId="41" fillId="0" borderId="27" xfId="30" applyNumberFormat="1" applyFont="1" applyFill="1" applyBorder="1" applyAlignment="1">
      <alignment horizontal="center" vertical="center"/>
    </xf>
    <xf numFmtId="0" fontId="26" fillId="0" borderId="0" xfId="30" applyNumberFormat="1" applyFont="1" applyFill="1" applyBorder="1" applyAlignment="1"/>
    <xf numFmtId="0" fontId="26" fillId="0" borderId="16" xfId="30" applyNumberFormat="1" applyFont="1" applyFill="1" applyBorder="1" applyAlignment="1"/>
    <xf numFmtId="0" fontId="39" fillId="0" borderId="28" xfId="52" applyFont="1" applyFill="1" applyBorder="1"/>
    <xf numFmtId="0" fontId="39" fillId="0" borderId="23" xfId="52" applyFont="1" applyFill="1" applyBorder="1"/>
    <xf numFmtId="0" fontId="25" fillId="0" borderId="29" xfId="52" applyFont="1" applyFill="1" applyBorder="1" applyAlignment="1"/>
    <xf numFmtId="0" fontId="39" fillId="0" borderId="25" xfId="52" applyFont="1" applyFill="1" applyBorder="1"/>
    <xf numFmtId="0" fontId="26" fillId="0" borderId="26" xfId="52" applyFont="1" applyFill="1" applyBorder="1" applyAlignment="1">
      <alignment wrapText="1"/>
    </xf>
    <xf numFmtId="0" fontId="26" fillId="0" borderId="25" xfId="52" applyFont="1" applyFill="1" applyBorder="1" applyAlignment="1">
      <alignment wrapText="1"/>
    </xf>
    <xf numFmtId="0" fontId="41" fillId="0" borderId="30" xfId="52" applyFont="1" applyFill="1" applyBorder="1" applyAlignment="1">
      <alignment horizontal="left"/>
    </xf>
    <xf numFmtId="2" fontId="41" fillId="0" borderId="10" xfId="30" applyNumberFormat="1" applyFont="1" applyFill="1" applyBorder="1" applyAlignment="1">
      <alignment horizontal="center"/>
    </xf>
    <xf numFmtId="2" fontId="39" fillId="0" borderId="10" xfId="30" applyNumberFormat="1" applyFont="1" applyFill="1" applyBorder="1" applyAlignment="1">
      <alignment horizontal="center"/>
    </xf>
    <xf numFmtId="2" fontId="39" fillId="0" borderId="27" xfId="30" applyNumberFormat="1" applyFont="1" applyFill="1" applyBorder="1" applyAlignment="1">
      <alignment horizontal="center"/>
    </xf>
    <xf numFmtId="0" fontId="38" fillId="0" borderId="10" xfId="0" applyFont="1" applyFill="1" applyBorder="1"/>
    <xf numFmtId="0" fontId="38" fillId="0" borderId="0" xfId="0" applyFont="1" applyFill="1" applyBorder="1"/>
    <xf numFmtId="0" fontId="38" fillId="0" borderId="0" xfId="0" applyFont="1"/>
    <xf numFmtId="0" fontId="38" fillId="0" borderId="21" xfId="0" applyFont="1" applyFill="1" applyBorder="1" applyAlignment="1">
      <alignment vertical="center" wrapText="1"/>
    </xf>
    <xf numFmtId="0" fontId="25" fillId="0" borderId="21" xfId="0" applyFont="1" applyFill="1" applyBorder="1" applyAlignment="1">
      <alignment horizontal="left" vertical="top" wrapText="1"/>
    </xf>
    <xf numFmtId="0" fontId="25" fillId="0" borderId="21"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21" xfId="0" applyFont="1" applyBorder="1" applyAlignment="1">
      <alignment horizontal="left" vertical="top"/>
    </xf>
    <xf numFmtId="2" fontId="25" fillId="0" borderId="21" xfId="0" applyNumberFormat="1" applyFont="1" applyBorder="1" applyAlignment="1">
      <alignment horizontal="center" vertical="center"/>
    </xf>
    <xf numFmtId="0" fontId="38" fillId="0" borderId="21" xfId="0" applyFont="1" applyBorder="1"/>
    <xf numFmtId="0" fontId="38" fillId="0" borderId="22" xfId="0" applyFont="1" applyBorder="1"/>
    <xf numFmtId="0" fontId="39" fillId="0" borderId="21" xfId="0" applyFont="1" applyBorder="1" applyAlignment="1">
      <alignment horizontal="left" vertical="top"/>
    </xf>
    <xf numFmtId="2" fontId="39" fillId="0" borderId="21" xfId="0" applyNumberFormat="1" applyFont="1" applyBorder="1" applyAlignment="1">
      <alignment horizontal="center" vertical="center"/>
    </xf>
    <xf numFmtId="2" fontId="38" fillId="0" borderId="21" xfId="0" applyNumberFormat="1" applyFont="1" applyBorder="1"/>
    <xf numFmtId="2" fontId="38" fillId="0" borderId="22" xfId="0" applyNumberFormat="1" applyFont="1" applyBorder="1"/>
    <xf numFmtId="0" fontId="39" fillId="0" borderId="21" xfId="0" applyFont="1" applyFill="1" applyBorder="1" applyAlignment="1">
      <alignment horizontal="left" vertical="top"/>
    </xf>
    <xf numFmtId="2" fontId="39" fillId="0" borderId="21" xfId="0" applyNumberFormat="1" applyFont="1" applyFill="1" applyBorder="1" applyAlignment="1">
      <alignment horizontal="center" vertical="center"/>
    </xf>
    <xf numFmtId="10" fontId="25" fillId="0" borderId="21" xfId="0" applyNumberFormat="1" applyFont="1" applyFill="1" applyBorder="1" applyAlignment="1">
      <alignment horizontal="left" vertical="top"/>
    </xf>
    <xf numFmtId="2" fontId="39" fillId="0" borderId="21" xfId="0" applyNumberFormat="1" applyFont="1" applyFill="1" applyBorder="1" applyAlignment="1">
      <alignment horizontal="right" vertical="center"/>
    </xf>
    <xf numFmtId="2" fontId="39" fillId="0" borderId="21" xfId="0" applyNumberFormat="1" applyFont="1" applyFill="1" applyBorder="1" applyAlignment="1">
      <alignment horizontal="center" vertical="top"/>
    </xf>
    <xf numFmtId="10" fontId="39" fillId="0" borderId="21" xfId="0" applyNumberFormat="1" applyFont="1" applyFill="1" applyBorder="1" applyAlignment="1">
      <alignment horizontal="left" vertical="top"/>
    </xf>
    <xf numFmtId="2" fontId="39" fillId="0" borderId="21" xfId="1" applyNumberFormat="1" applyFont="1" applyFill="1" applyBorder="1" applyAlignment="1">
      <alignment horizontal="center" vertical="center"/>
    </xf>
    <xf numFmtId="2" fontId="39" fillId="0" borderId="21" xfId="1" applyNumberFormat="1" applyFont="1" applyFill="1" applyBorder="1" applyAlignment="1">
      <alignment horizontal="right" vertical="center"/>
    </xf>
    <xf numFmtId="0" fontId="25" fillId="0" borderId="21" xfId="0" applyFont="1" applyBorder="1" applyAlignment="1">
      <alignment horizontal="left" vertical="top" wrapText="1"/>
    </xf>
    <xf numFmtId="2" fontId="39" fillId="0" borderId="21" xfId="0" applyNumberFormat="1" applyFont="1" applyBorder="1" applyAlignment="1">
      <alignment vertical="center"/>
    </xf>
    <xf numFmtId="2" fontId="25" fillId="0" borderId="21" xfId="0" applyNumberFormat="1" applyFont="1" applyFill="1" applyBorder="1" applyAlignment="1">
      <alignment horizontal="right" vertical="center"/>
    </xf>
    <xf numFmtId="2" fontId="25" fillId="0" borderId="21" xfId="0" applyNumberFormat="1" applyFont="1" applyFill="1" applyBorder="1" applyAlignment="1">
      <alignment horizontal="center" vertical="center"/>
    </xf>
    <xf numFmtId="0" fontId="38" fillId="0" borderId="0" xfId="0" applyFont="1" applyAlignment="1">
      <alignment horizontal="center" vertical="center" wrapText="1"/>
    </xf>
    <xf numFmtId="0" fontId="43" fillId="0" borderId="0" xfId="0" applyFont="1"/>
    <xf numFmtId="0" fontId="43" fillId="0" borderId="21" xfId="0" applyFont="1" applyBorder="1"/>
    <xf numFmtId="0" fontId="38" fillId="0" borderId="21" xfId="0" applyFont="1" applyBorder="1" applyAlignment="1">
      <alignment horizontal="center" vertical="center" wrapText="1"/>
    </xf>
    <xf numFmtId="0" fontId="38" fillId="0" borderId="0" xfId="0" applyFont="1" applyBorder="1"/>
    <xf numFmtId="0" fontId="38" fillId="0" borderId="21" xfId="0" applyFont="1" applyBorder="1" applyAlignment="1">
      <alignment horizontal="center" vertical="center"/>
    </xf>
    <xf numFmtId="0" fontId="44" fillId="0" borderId="0" xfId="0" applyFont="1"/>
    <xf numFmtId="0" fontId="38" fillId="25" borderId="0" xfId="0" applyFont="1" applyFill="1"/>
    <xf numFmtId="0" fontId="38" fillId="26" borderId="0" xfId="0" applyFont="1" applyFill="1"/>
    <xf numFmtId="0" fontId="38" fillId="24" borderId="0" xfId="0" applyFont="1" applyFill="1"/>
    <xf numFmtId="0" fontId="38" fillId="28" borderId="0" xfId="0" applyFont="1" applyFill="1"/>
    <xf numFmtId="0" fontId="38" fillId="27" borderId="0" xfId="0" applyFont="1" applyFill="1"/>
    <xf numFmtId="0" fontId="45" fillId="13" borderId="0" xfId="24" applyFont="1"/>
    <xf numFmtId="0" fontId="43" fillId="0" borderId="18" xfId="0" applyFont="1" applyBorder="1"/>
    <xf numFmtId="0" fontId="38" fillId="0" borderId="18" xfId="0" applyFont="1" applyBorder="1"/>
    <xf numFmtId="0" fontId="38" fillId="0" borderId="12" xfId="0" applyFont="1" applyBorder="1"/>
    <xf numFmtId="0" fontId="38" fillId="0" borderId="15" xfId="0" applyFont="1" applyBorder="1"/>
    <xf numFmtId="0" fontId="38" fillId="0" borderId="16" xfId="0" applyFont="1" applyBorder="1"/>
    <xf numFmtId="2" fontId="38" fillId="0" borderId="0" xfId="0" applyNumberFormat="1" applyFont="1" applyBorder="1"/>
    <xf numFmtId="2" fontId="38" fillId="0" borderId="16" xfId="0" applyNumberFormat="1" applyFont="1" applyBorder="1"/>
    <xf numFmtId="0" fontId="46" fillId="0" borderId="17" xfId="0" applyFont="1" applyBorder="1" applyAlignment="1">
      <alignment horizontal="right"/>
    </xf>
    <xf numFmtId="2" fontId="45" fillId="13" borderId="18" xfId="18" applyNumberFormat="1" applyFont="1" applyBorder="1"/>
    <xf numFmtId="2" fontId="45" fillId="13" borderId="19" xfId="18" applyNumberFormat="1" applyFont="1" applyBorder="1"/>
    <xf numFmtId="9" fontId="38" fillId="0" borderId="0" xfId="1" applyFont="1"/>
    <xf numFmtId="0" fontId="38" fillId="0" borderId="0" xfId="0" applyFont="1" applyFill="1" applyAlignment="1">
      <alignment horizontal="left"/>
    </xf>
    <xf numFmtId="166" fontId="45" fillId="13" borderId="13" xfId="24" applyNumberFormat="1" applyFont="1" applyBorder="1"/>
    <xf numFmtId="166" fontId="45" fillId="13" borderId="14" xfId="24" applyNumberFormat="1" applyFont="1" applyBorder="1"/>
    <xf numFmtId="166" fontId="45" fillId="13" borderId="0" xfId="24" applyNumberFormat="1" applyFont="1" applyBorder="1"/>
    <xf numFmtId="166" fontId="45" fillId="13" borderId="16" xfId="24" applyNumberFormat="1" applyFont="1" applyBorder="1"/>
    <xf numFmtId="0" fontId="38" fillId="0" borderId="17" xfId="0" applyFont="1" applyBorder="1"/>
    <xf numFmtId="2" fontId="39" fillId="0" borderId="20" xfId="72" applyNumberFormat="1" applyFont="1"/>
    <xf numFmtId="0" fontId="25" fillId="0" borderId="0" xfId="26" applyFont="1" applyFill="1"/>
    <xf numFmtId="0" fontId="25" fillId="0" borderId="31" xfId="26" applyFont="1" applyFill="1" applyBorder="1"/>
    <xf numFmtId="0" fontId="25" fillId="0" borderId="32" xfId="26" applyFont="1" applyFill="1" applyBorder="1"/>
    <xf numFmtId="0" fontId="25" fillId="0" borderId="33" xfId="26" applyFont="1" applyFill="1" applyBorder="1"/>
    <xf numFmtId="0" fontId="39" fillId="0" borderId="12" xfId="16" applyFont="1" applyFill="1" applyBorder="1"/>
    <xf numFmtId="0" fontId="39" fillId="0" borderId="15" xfId="16" applyFont="1" applyFill="1" applyBorder="1"/>
    <xf numFmtId="0" fontId="45" fillId="0" borderId="0" xfId="26" applyFont="1" applyFill="1" applyBorder="1"/>
    <xf numFmtId="1" fontId="38" fillId="0" borderId="0" xfId="0" applyNumberFormat="1" applyFont="1" applyBorder="1"/>
    <xf numFmtId="1" fontId="38" fillId="0" borderId="0" xfId="0" applyNumberFormat="1" applyFont="1" applyFill="1" applyBorder="1"/>
    <xf numFmtId="2" fontId="38" fillId="0" borderId="0" xfId="0" applyNumberFormat="1" applyFont="1"/>
    <xf numFmtId="0" fontId="25" fillId="0" borderId="0" xfId="0" applyFont="1" applyFill="1"/>
    <xf numFmtId="10" fontId="38" fillId="0" borderId="0" xfId="1" applyNumberFormat="1" applyFont="1"/>
    <xf numFmtId="2" fontId="38" fillId="0" borderId="0" xfId="1" applyNumberFormat="1" applyFont="1"/>
    <xf numFmtId="0" fontId="45" fillId="0" borderId="0" xfId="26" applyFont="1" applyFill="1"/>
    <xf numFmtId="0" fontId="39" fillId="0" borderId="0" xfId="26" applyFont="1" applyFill="1" applyBorder="1"/>
    <xf numFmtId="0" fontId="38" fillId="0" borderId="0" xfId="0" applyFont="1" applyBorder="1" applyAlignment="1">
      <alignment horizontal="left"/>
    </xf>
    <xf numFmtId="0" fontId="25" fillId="0" borderId="0" xfId="0" applyFont="1" applyAlignment="1"/>
    <xf numFmtId="0" fontId="38" fillId="0" borderId="21" xfId="0" applyFont="1" applyFill="1" applyBorder="1" applyAlignment="1"/>
    <xf numFmtId="0" fontId="38" fillId="0" borderId="21" xfId="0" applyFont="1" applyFill="1" applyBorder="1"/>
    <xf numFmtId="0" fontId="43" fillId="0" borderId="21" xfId="0" applyFont="1" applyBorder="1" applyAlignment="1">
      <alignment horizontal="center"/>
    </xf>
    <xf numFmtId="0" fontId="38" fillId="0" borderId="21" xfId="0" applyFont="1" applyFill="1" applyBorder="1" applyAlignment="1">
      <alignment horizontal="center" vertical="center"/>
    </xf>
    <xf numFmtId="0" fontId="38" fillId="0" borderId="21" xfId="0" applyFont="1" applyFill="1" applyBorder="1" applyAlignment="1">
      <alignment horizontal="center"/>
    </xf>
    <xf numFmtId="0" fontId="38" fillId="0" borderId="21" xfId="0" applyFont="1" applyBorder="1" applyAlignment="1">
      <alignment horizontal="center"/>
    </xf>
    <xf numFmtId="0" fontId="43" fillId="0" borderId="21" xfId="0" applyFont="1" applyBorder="1" applyAlignment="1">
      <alignment horizontal="center" vertical="center"/>
    </xf>
    <xf numFmtId="2" fontId="38" fillId="0" borderId="21" xfId="0" applyNumberFormat="1" applyFont="1" applyBorder="1" applyAlignment="1">
      <alignment horizontal="center"/>
    </xf>
    <xf numFmtId="2" fontId="38" fillId="0" borderId="21" xfId="0" applyNumberFormat="1" applyFont="1" applyBorder="1" applyAlignment="1">
      <alignment horizontal="center" vertical="center"/>
    </xf>
    <xf numFmtId="2" fontId="45" fillId="13" borderId="13" xfId="24" applyNumberFormat="1" applyFont="1" applyBorder="1"/>
    <xf numFmtId="2" fontId="45" fillId="13" borderId="14" xfId="24" applyNumberFormat="1" applyFont="1" applyBorder="1"/>
    <xf numFmtId="2" fontId="45" fillId="13" borderId="0" xfId="24" applyNumberFormat="1" applyFont="1" applyBorder="1"/>
    <xf numFmtId="2" fontId="45" fillId="13" borderId="16" xfId="24" applyNumberFormat="1" applyFont="1" applyBorder="1"/>
    <xf numFmtId="0" fontId="25" fillId="0" borderId="12" xfId="26" applyFont="1" applyFill="1" applyBorder="1"/>
    <xf numFmtId="0" fontId="38" fillId="0" borderId="13" xfId="0" applyFont="1" applyBorder="1"/>
    <xf numFmtId="0" fontId="38" fillId="0" borderId="14" xfId="0" applyFont="1" applyBorder="1"/>
    <xf numFmtId="2" fontId="38" fillId="28" borderId="0" xfId="0" applyNumberFormat="1" applyFont="1" applyFill="1" applyBorder="1"/>
    <xf numFmtId="0" fontId="38" fillId="0" borderId="16" xfId="0" applyFont="1" applyFill="1" applyBorder="1"/>
    <xf numFmtId="2" fontId="38" fillId="28" borderId="18" xfId="0" applyNumberFormat="1" applyFont="1" applyFill="1" applyBorder="1"/>
    <xf numFmtId="0" fontId="38" fillId="0" borderId="19" xfId="0" applyFont="1" applyFill="1" applyBorder="1"/>
    <xf numFmtId="2" fontId="39" fillId="24" borderId="0" xfId="61" applyNumberFormat="1" applyFont="1" applyFill="1" applyBorder="1"/>
    <xf numFmtId="2" fontId="39" fillId="24" borderId="16" xfId="61" applyNumberFormat="1" applyFont="1" applyFill="1" applyBorder="1"/>
    <xf numFmtId="2" fontId="38" fillId="24" borderId="0" xfId="0" applyNumberFormat="1" applyFont="1" applyFill="1" applyBorder="1"/>
    <xf numFmtId="2" fontId="38" fillId="24" borderId="16" xfId="0" applyNumberFormat="1" applyFont="1" applyFill="1" applyBorder="1"/>
    <xf numFmtId="2" fontId="38" fillId="27" borderId="0" xfId="0" applyNumberFormat="1" applyFont="1" applyFill="1" applyBorder="1"/>
    <xf numFmtId="0" fontId="38" fillId="0" borderId="15" xfId="0" applyFont="1" applyBorder="1" applyAlignment="1">
      <alignment horizontal="left"/>
    </xf>
    <xf numFmtId="0" fontId="38" fillId="0" borderId="15" xfId="0" applyFont="1" applyFill="1" applyBorder="1" applyAlignment="1">
      <alignment horizontal="left"/>
    </xf>
    <xf numFmtId="2" fontId="38" fillId="0" borderId="0" xfId="0" applyNumberFormat="1" applyFont="1" applyFill="1" applyBorder="1"/>
    <xf numFmtId="2" fontId="38" fillId="0" borderId="16" xfId="0" applyNumberFormat="1" applyFont="1" applyFill="1" applyBorder="1"/>
    <xf numFmtId="0" fontId="38" fillId="0" borderId="17" xfId="0" applyFont="1" applyFill="1" applyBorder="1" applyAlignment="1">
      <alignment horizontal="left"/>
    </xf>
    <xf numFmtId="2" fontId="38" fillId="0" borderId="18" xfId="0" applyNumberFormat="1" applyFont="1" applyFill="1" applyBorder="1"/>
    <xf numFmtId="2" fontId="38" fillId="0" borderId="19" xfId="0" applyNumberFormat="1" applyFont="1" applyFill="1" applyBorder="1"/>
    <xf numFmtId="0" fontId="25" fillId="0" borderId="13" xfId="26" applyFont="1" applyFill="1" applyBorder="1"/>
    <xf numFmtId="0" fontId="25" fillId="0" borderId="14" xfId="26" applyFont="1" applyFill="1" applyBorder="1"/>
    <xf numFmtId="0" fontId="46" fillId="0" borderId="15" xfId="0" applyFont="1" applyBorder="1"/>
    <xf numFmtId="0" fontId="46" fillId="0" borderId="17" xfId="0" applyFont="1" applyBorder="1"/>
    <xf numFmtId="2" fontId="45" fillId="13" borderId="18" xfId="24" applyNumberFormat="1" applyFont="1" applyBorder="1"/>
    <xf numFmtId="2" fontId="45" fillId="13" borderId="19" xfId="24" applyNumberFormat="1" applyFont="1" applyBorder="1"/>
    <xf numFmtId="0" fontId="38" fillId="25" borderId="0" xfId="0" applyFont="1" applyFill="1" applyBorder="1"/>
    <xf numFmtId="0" fontId="38" fillId="25" borderId="16" xfId="0" applyFont="1" applyFill="1" applyBorder="1"/>
    <xf numFmtId="0" fontId="38" fillId="26" borderId="0" xfId="0" applyFont="1" applyFill="1" applyBorder="1"/>
    <xf numFmtId="0" fontId="38" fillId="26" borderId="16" xfId="0" applyFont="1" applyFill="1" applyBorder="1"/>
    <xf numFmtId="0" fontId="38" fillId="26" borderId="18" xfId="0" applyFont="1" applyFill="1" applyBorder="1"/>
    <xf numFmtId="0" fontId="38" fillId="26" borderId="19" xfId="0" applyFont="1" applyFill="1" applyBorder="1"/>
    <xf numFmtId="0" fontId="43" fillId="0" borderId="0" xfId="0" applyFont="1" applyBorder="1"/>
    <xf numFmtId="0" fontId="38" fillId="0" borderId="34" xfId="0" applyFont="1" applyBorder="1"/>
    <xf numFmtId="1" fontId="38" fillId="0" borderId="34" xfId="0" applyNumberFormat="1" applyFont="1" applyBorder="1"/>
    <xf numFmtId="0" fontId="25" fillId="0" borderId="35" xfId="26" applyFont="1" applyFill="1" applyBorder="1"/>
    <xf numFmtId="0" fontId="25" fillId="0" borderId="36" xfId="0" applyFont="1" applyFill="1" applyBorder="1"/>
    <xf numFmtId="0" fontId="25" fillId="0" borderId="36" xfId="26" applyFont="1" applyFill="1" applyBorder="1"/>
    <xf numFmtId="0" fontId="25" fillId="0" borderId="37" xfId="26" applyFont="1" applyFill="1" applyBorder="1"/>
    <xf numFmtId="0" fontId="38" fillId="0" borderId="38" xfId="0" applyFont="1" applyBorder="1" applyAlignment="1">
      <alignment vertical="center"/>
    </xf>
    <xf numFmtId="1" fontId="38" fillId="0" borderId="39" xfId="0" applyNumberFormat="1" applyFont="1" applyBorder="1"/>
    <xf numFmtId="0" fontId="43" fillId="0" borderId="38" xfId="0" applyFont="1" applyBorder="1" applyAlignment="1">
      <alignment vertical="center" wrapText="1"/>
    </xf>
    <xf numFmtId="0" fontId="43" fillId="0" borderId="40" xfId="0" applyFont="1" applyBorder="1" applyAlignment="1">
      <alignment vertical="center" wrapText="1"/>
    </xf>
    <xf numFmtId="0" fontId="43" fillId="0" borderId="41" xfId="0" applyFont="1" applyBorder="1"/>
    <xf numFmtId="2" fontId="38" fillId="0" borderId="34" xfId="0" applyNumberFormat="1" applyFont="1" applyBorder="1"/>
    <xf numFmtId="2" fontId="38" fillId="0" borderId="39" xfId="0" applyNumberFormat="1" applyFont="1" applyBorder="1"/>
    <xf numFmtId="2" fontId="38" fillId="0" borderId="34" xfId="1" applyNumberFormat="1" applyFont="1" applyBorder="1"/>
    <xf numFmtId="2" fontId="38" fillId="0" borderId="41" xfId="1" applyNumberFormat="1" applyFont="1" applyBorder="1"/>
    <xf numFmtId="2" fontId="38" fillId="0" borderId="41" xfId="0" applyNumberFormat="1" applyFont="1" applyBorder="1"/>
    <xf numFmtId="2" fontId="38" fillId="0" borderId="42" xfId="0" applyNumberFormat="1" applyFont="1" applyBorder="1"/>
    <xf numFmtId="0" fontId="43" fillId="0" borderId="35" xfId="0" applyFont="1" applyBorder="1"/>
    <xf numFmtId="0" fontId="38" fillId="0" borderId="36" xfId="0" applyFont="1" applyBorder="1"/>
    <xf numFmtId="0" fontId="43" fillId="0" borderId="36" xfId="0" applyFont="1" applyBorder="1"/>
    <xf numFmtId="0" fontId="43" fillId="0" borderId="37" xfId="0" applyFont="1" applyBorder="1"/>
    <xf numFmtId="0" fontId="38" fillId="0" borderId="38" xfId="0" applyFont="1" applyBorder="1"/>
    <xf numFmtId="0" fontId="38" fillId="0" borderId="40" xfId="0" applyFont="1" applyBorder="1"/>
    <xf numFmtId="0" fontId="38" fillId="0" borderId="41" xfId="0" applyFont="1" applyBorder="1"/>
    <xf numFmtId="2" fontId="38" fillId="0" borderId="39" xfId="1" applyNumberFormat="1" applyFont="1" applyBorder="1"/>
    <xf numFmtId="2" fontId="38" fillId="0" borderId="38" xfId="0" applyNumberFormat="1" applyFont="1" applyBorder="1"/>
    <xf numFmtId="0" fontId="38" fillId="0" borderId="38" xfId="0" applyFont="1" applyBorder="1" applyAlignment="1">
      <alignment horizontal="left"/>
    </xf>
    <xf numFmtId="0" fontId="38" fillId="0" borderId="40" xfId="0" applyFont="1" applyBorder="1" applyAlignment="1">
      <alignment horizontal="left"/>
    </xf>
    <xf numFmtId="0" fontId="45" fillId="0" borderId="34" xfId="26" applyFont="1" applyFill="1" applyBorder="1"/>
    <xf numFmtId="0" fontId="25" fillId="0" borderId="12" xfId="0" applyFont="1" applyFill="1" applyBorder="1"/>
    <xf numFmtId="0" fontId="45" fillId="0" borderId="41" xfId="26" applyFont="1" applyFill="1" applyBorder="1"/>
    <xf numFmtId="2" fontId="39" fillId="0" borderId="34" xfId="26" applyNumberFormat="1" applyFont="1" applyFill="1" applyBorder="1"/>
    <xf numFmtId="0" fontId="43" fillId="0" borderId="12" xfId="0" applyFont="1" applyBorder="1"/>
    <xf numFmtId="2" fontId="39" fillId="0" borderId="39" xfId="26" applyNumberFormat="1" applyFont="1" applyFill="1" applyBorder="1"/>
    <xf numFmtId="2" fontId="39" fillId="0" borderId="41" xfId="26" applyNumberFormat="1" applyFont="1" applyFill="1" applyBorder="1"/>
    <xf numFmtId="2" fontId="39" fillId="0" borderId="42" xfId="26" applyNumberFormat="1" applyFont="1" applyFill="1" applyBorder="1"/>
    <xf numFmtId="10" fontId="38" fillId="0" borderId="34" xfId="1" applyNumberFormat="1" applyFont="1" applyBorder="1"/>
    <xf numFmtId="10" fontId="38" fillId="0" borderId="39" xfId="1" applyNumberFormat="1" applyFont="1" applyBorder="1"/>
    <xf numFmtId="2" fontId="38" fillId="0" borderId="42" xfId="1" applyNumberFormat="1" applyFont="1" applyBorder="1"/>
    <xf numFmtId="0" fontId="38" fillId="0" borderId="0" xfId="0" applyFont="1" applyFill="1" applyBorder="1" applyAlignment="1"/>
    <xf numFmtId="0" fontId="38" fillId="0" borderId="0" xfId="0" applyFont="1" applyFill="1" applyBorder="1" applyAlignment="1">
      <alignment horizontal="center" vertical="center"/>
    </xf>
    <xf numFmtId="0" fontId="38" fillId="0" borderId="0" xfId="0" applyFont="1" applyBorder="1" applyAlignment="1">
      <alignment horizontal="center"/>
    </xf>
    <xf numFmtId="0" fontId="48" fillId="0" borderId="46" xfId="0" applyFont="1" applyBorder="1"/>
    <xf numFmtId="0" fontId="48" fillId="0" borderId="50" xfId="0" applyFont="1" applyBorder="1"/>
    <xf numFmtId="0" fontId="48" fillId="0" borderId="47" xfId="0" applyFont="1" applyBorder="1"/>
    <xf numFmtId="0" fontId="48" fillId="0" borderId="0" xfId="0" applyFont="1"/>
    <xf numFmtId="0" fontId="48" fillId="0" borderId="49" xfId="0" applyFont="1" applyBorder="1"/>
    <xf numFmtId="0" fontId="48" fillId="0" borderId="48" xfId="0" applyFont="1" applyBorder="1"/>
    <xf numFmtId="0" fontId="48" fillId="0" borderId="51" xfId="0" applyFont="1" applyBorder="1"/>
    <xf numFmtId="0" fontId="48" fillId="29" borderId="44" xfId="0" applyFont="1" applyFill="1" applyBorder="1" applyAlignment="1">
      <alignment vertical="center" wrapText="1"/>
    </xf>
    <xf numFmtId="0" fontId="48" fillId="29" borderId="53" xfId="0" applyFont="1" applyFill="1" applyBorder="1" applyAlignment="1">
      <alignment vertical="center"/>
    </xf>
    <xf numFmtId="0" fontId="48" fillId="29" borderId="53" xfId="0" applyFont="1" applyFill="1" applyBorder="1" applyAlignment="1">
      <alignment vertical="center" wrapText="1"/>
    </xf>
    <xf numFmtId="0" fontId="50" fillId="0" borderId="54" xfId="0" applyFont="1" applyBorder="1" applyAlignment="1">
      <alignment vertical="center" wrapText="1"/>
    </xf>
    <xf numFmtId="0" fontId="50" fillId="0" borderId="46" xfId="0" applyFont="1" applyBorder="1" applyAlignment="1">
      <alignment vertical="center" wrapText="1"/>
    </xf>
    <xf numFmtId="0" fontId="50" fillId="29" borderId="54" xfId="0" applyFont="1" applyFill="1" applyBorder="1" applyAlignment="1">
      <alignment vertical="center" wrapText="1"/>
    </xf>
    <xf numFmtId="0" fontId="51" fillId="0" borderId="46" xfId="0" applyFont="1" applyBorder="1" applyAlignment="1">
      <alignment vertical="center" wrapText="1"/>
    </xf>
    <xf numFmtId="0" fontId="48" fillId="29" borderId="53" xfId="0" applyFont="1" applyFill="1" applyBorder="1" applyAlignment="1">
      <alignment horizontal="left" vertical="center" wrapText="1"/>
    </xf>
    <xf numFmtId="0" fontId="52" fillId="29" borderId="56" xfId="85" applyFont="1" applyFill="1" applyBorder="1" applyAlignment="1" applyProtection="1">
      <alignment vertical="center" wrapText="1"/>
    </xf>
    <xf numFmtId="0" fontId="50" fillId="29" borderId="58" xfId="0" applyFont="1" applyFill="1" applyBorder="1" applyAlignment="1">
      <alignment vertical="center" wrapText="1"/>
    </xf>
    <xf numFmtId="0" fontId="49" fillId="30" borderId="43" xfId="0" applyFont="1" applyFill="1" applyBorder="1" applyAlignment="1">
      <alignment horizontal="left" vertical="center"/>
    </xf>
    <xf numFmtId="0" fontId="49" fillId="30" borderId="52" xfId="0" applyFont="1" applyFill="1" applyBorder="1" applyAlignment="1">
      <alignment horizontal="left" vertical="center"/>
    </xf>
    <xf numFmtId="0" fontId="49" fillId="30" borderId="52" xfId="0" applyFont="1" applyFill="1" applyBorder="1" applyAlignment="1">
      <alignment horizontal="left" vertical="center" wrapText="1"/>
    </xf>
    <xf numFmtId="0" fontId="49" fillId="30" borderId="55" xfId="0" applyFont="1" applyFill="1" applyBorder="1" applyAlignment="1">
      <alignment horizontal="left" vertical="center"/>
    </xf>
    <xf numFmtId="0" fontId="49" fillId="30" borderId="45" xfId="0" applyFont="1" applyFill="1" applyBorder="1" applyAlignment="1">
      <alignment horizontal="left" vertical="center"/>
    </xf>
    <xf numFmtId="0" fontId="49" fillId="30" borderId="57" xfId="0" applyFont="1" applyFill="1" applyBorder="1" applyAlignment="1">
      <alignment horizontal="left" vertical="center"/>
    </xf>
    <xf numFmtId="167" fontId="54" fillId="0" borderId="60" xfId="0" applyNumberFormat="1" applyFont="1" applyBorder="1" applyAlignment="1">
      <alignment horizontal="left" vertical="center" wrapText="1"/>
    </xf>
    <xf numFmtId="0" fontId="55" fillId="0" borderId="54" xfId="0" applyFont="1" applyBorder="1" applyAlignment="1">
      <alignment horizontal="left" vertical="center" wrapText="1"/>
    </xf>
    <xf numFmtId="0" fontId="53" fillId="30" borderId="59" xfId="0" applyFont="1" applyFill="1" applyBorder="1" applyAlignment="1">
      <alignment horizontal="left" vertical="center"/>
    </xf>
    <xf numFmtId="0" fontId="25" fillId="0" borderId="61" xfId="26" applyFont="1" applyFill="1" applyBorder="1"/>
    <xf numFmtId="0" fontId="0" fillId="29" borderId="0" xfId="0" applyFill="1"/>
    <xf numFmtId="0" fontId="38" fillId="31" borderId="35" xfId="0" applyFont="1" applyFill="1" applyBorder="1"/>
    <xf numFmtId="0" fontId="38" fillId="31" borderId="37" xfId="0" applyFont="1" applyFill="1" applyBorder="1"/>
    <xf numFmtId="0" fontId="38" fillId="29" borderId="38" xfId="0" applyFont="1" applyFill="1" applyBorder="1"/>
    <xf numFmtId="0" fontId="38" fillId="29" borderId="62" xfId="0" applyFont="1" applyFill="1" applyBorder="1"/>
    <xf numFmtId="14" fontId="38" fillId="29" borderId="63" xfId="0" applyNumberFormat="1" applyFont="1" applyFill="1" applyBorder="1" applyAlignment="1">
      <alignment horizontal="left"/>
    </xf>
    <xf numFmtId="0" fontId="38" fillId="29" borderId="16" xfId="0" applyFont="1" applyFill="1" applyBorder="1" applyAlignment="1">
      <alignment horizontal="left"/>
    </xf>
    <xf numFmtId="14" fontId="38" fillId="29" borderId="38" xfId="0" applyNumberFormat="1" applyFont="1" applyFill="1" applyBorder="1"/>
    <xf numFmtId="0" fontId="38" fillId="29" borderId="64" xfId="0" applyFont="1" applyFill="1" applyBorder="1" applyAlignment="1">
      <alignment horizontal="left"/>
    </xf>
    <xf numFmtId="14" fontId="38" fillId="29" borderId="65" xfId="0" applyNumberFormat="1" applyFont="1" applyFill="1" applyBorder="1"/>
    <xf numFmtId="0" fontId="38" fillId="29" borderId="66" xfId="0" applyFont="1" applyFill="1" applyBorder="1"/>
    <xf numFmtId="0" fontId="54" fillId="0" borderId="53" xfId="0" applyFont="1" applyBorder="1" applyAlignment="1">
      <alignment vertical="top" wrapText="1"/>
    </xf>
    <xf numFmtId="0" fontId="38" fillId="0" borderId="0" xfId="0" applyFont="1" applyAlignment="1">
      <alignment horizontal="center" vertical="center"/>
    </xf>
    <xf numFmtId="0" fontId="38" fillId="0" borderId="0" xfId="0" applyFont="1" applyAlignment="1">
      <alignment horizontal="center" vertical="center" wrapText="1"/>
    </xf>
    <xf numFmtId="0" fontId="39" fillId="0" borderId="20" xfId="72" applyFont="1"/>
    <xf numFmtId="0" fontId="38" fillId="0" borderId="21" xfId="0" applyFont="1" applyFill="1" applyBorder="1" applyAlignment="1">
      <alignment horizontal="center"/>
    </xf>
    <xf numFmtId="0" fontId="38" fillId="0" borderId="21" xfId="0" applyFont="1" applyFill="1" applyBorder="1" applyAlignment="1">
      <alignment horizontal="center" vertical="center"/>
    </xf>
    <xf numFmtId="0" fontId="38" fillId="0" borderId="21" xfId="0" applyFont="1" applyFill="1" applyBorder="1" applyAlignment="1">
      <alignment horizontal="center" vertical="center" wrapText="1"/>
    </xf>
    <xf numFmtId="0" fontId="26" fillId="0" borderId="29" xfId="52" applyFont="1" applyFill="1" applyBorder="1" applyAlignment="1">
      <alignment horizontal="center" vertical="center"/>
    </xf>
    <xf numFmtId="0" fontId="26" fillId="0" borderId="27" xfId="52" applyFont="1" applyFill="1" applyBorder="1" applyAlignment="1">
      <alignment horizontal="center" vertical="center"/>
    </xf>
    <xf numFmtId="0" fontId="26" fillId="0" borderId="11" xfId="52" applyFont="1" applyFill="1" applyBorder="1" applyAlignment="1">
      <alignment horizontal="center" wrapText="1"/>
    </xf>
    <xf numFmtId="0" fontId="26" fillId="0" borderId="22" xfId="52" applyFont="1" applyFill="1" applyBorder="1" applyAlignment="1">
      <alignment horizontal="center" wrapText="1"/>
    </xf>
    <xf numFmtId="0" fontId="26" fillId="0" borderId="24" xfId="52" applyFont="1" applyFill="1" applyBorder="1" applyAlignment="1">
      <alignment horizontal="center" vertical="center"/>
    </xf>
    <xf numFmtId="0" fontId="26" fillId="0" borderId="11" xfId="52" applyFont="1" applyFill="1" applyBorder="1" applyAlignment="1">
      <alignment horizontal="center" vertical="center"/>
    </xf>
    <xf numFmtId="0" fontId="40" fillId="0" borderId="24" xfId="52" applyFont="1" applyFill="1" applyBorder="1" applyAlignment="1">
      <alignment horizontal="center" vertical="center" wrapText="1"/>
    </xf>
    <xf numFmtId="0" fontId="40" fillId="0" borderId="11" xfId="52" applyFont="1" applyFill="1" applyBorder="1" applyAlignment="1">
      <alignment horizontal="center" vertical="center" wrapText="1"/>
    </xf>
    <xf numFmtId="0" fontId="40" fillId="0" borderId="22" xfId="52" applyFont="1" applyFill="1" applyBorder="1" applyAlignment="1">
      <alignment horizontal="center" vertical="center" wrapText="1"/>
    </xf>
    <xf numFmtId="0" fontId="26" fillId="0" borderId="10" xfId="52" applyFont="1" applyFill="1" applyBorder="1" applyAlignment="1">
      <alignment horizontal="right"/>
    </xf>
    <xf numFmtId="0" fontId="26" fillId="0" borderId="27" xfId="52" applyFont="1" applyFill="1" applyBorder="1" applyAlignment="1">
      <alignment horizontal="right"/>
    </xf>
    <xf numFmtId="0" fontId="38" fillId="0" borderId="21" xfId="0" applyFont="1" applyBorder="1" applyAlignment="1">
      <alignment horizontal="center"/>
    </xf>
    <xf numFmtId="0" fontId="38" fillId="0" borderId="24" xfId="0" applyFont="1" applyBorder="1" applyAlignment="1">
      <alignment horizontal="center"/>
    </xf>
    <xf numFmtId="0" fontId="38" fillId="0" borderId="11" xfId="0" applyFont="1" applyBorder="1" applyAlignment="1">
      <alignment horizontal="center"/>
    </xf>
    <xf numFmtId="0" fontId="38" fillId="0" borderId="22" xfId="0" applyFont="1" applyBorder="1" applyAlignment="1">
      <alignment horizontal="center"/>
    </xf>
    <xf numFmtId="0" fontId="43" fillId="0" borderId="24" xfId="0" applyFont="1" applyBorder="1" applyAlignment="1">
      <alignment horizontal="center" vertical="center" wrapText="1"/>
    </xf>
    <xf numFmtId="0" fontId="43" fillId="0" borderId="11" xfId="0" applyFont="1" applyBorder="1" applyAlignment="1">
      <alignment horizontal="center" vertical="center" wrapText="1"/>
    </xf>
    <xf numFmtId="0" fontId="43" fillId="0" borderId="22" xfId="0" applyFont="1" applyBorder="1" applyAlignment="1">
      <alignment horizontal="center" vertical="center" wrapText="1"/>
    </xf>
    <xf numFmtId="0" fontId="43" fillId="0" borderId="24" xfId="0" applyFont="1" applyBorder="1" applyAlignment="1">
      <alignment horizontal="center" vertical="center"/>
    </xf>
    <xf numFmtId="0" fontId="43" fillId="0" borderId="11" xfId="0" applyFont="1" applyBorder="1" applyAlignment="1">
      <alignment horizontal="center" vertical="center"/>
    </xf>
    <xf numFmtId="0" fontId="43" fillId="0" borderId="22" xfId="0" applyFont="1" applyBorder="1" applyAlignment="1">
      <alignment horizontal="center" vertical="center"/>
    </xf>
    <xf numFmtId="0" fontId="43" fillId="0" borderId="12" xfId="0" applyFont="1" applyBorder="1" applyAlignment="1">
      <alignment horizontal="center"/>
    </xf>
    <xf numFmtId="0" fontId="43" fillId="0" borderId="13" xfId="0" applyFont="1" applyBorder="1" applyAlignment="1">
      <alignment horizontal="center"/>
    </xf>
    <xf numFmtId="0" fontId="43" fillId="0" borderId="14"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14" xfId="0" applyFont="1" applyBorder="1" applyAlignment="1">
      <alignment horizontal="center"/>
    </xf>
  </cellXfs>
  <cellStyles count="86">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lumn - Style5" xfId="62" xr:uid="{00000000-0005-0000-0000-00001B000000}"/>
    <cellStyle name="Column headings" xfId="63" xr:uid="{00000000-0005-0000-0000-00001C000000}"/>
    <cellStyle name="Comma 12 2" xfId="83" xr:uid="{00000000-0005-0000-0000-00001D000000}"/>
    <cellStyle name="Comma 2" xfId="30" xr:uid="{00000000-0005-0000-0000-00001E000000}"/>
    <cellStyle name="Data (Number)" xfId="64" xr:uid="{00000000-0005-0000-0000-00001F000000}"/>
    <cellStyle name="Data (Text)" xfId="65" xr:uid="{00000000-0005-0000-0000-000020000000}"/>
    <cellStyle name="Explanatory Text 2" xfId="31" xr:uid="{00000000-0005-0000-0000-000021000000}"/>
    <cellStyle name="Footnote Text" xfId="66" xr:uid="{00000000-0005-0000-0000-000022000000}"/>
    <cellStyle name="Good 2" xfId="32" xr:uid="{00000000-0005-0000-0000-000023000000}"/>
    <cellStyle name="Heading 1 2" xfId="33" xr:uid="{00000000-0005-0000-0000-000024000000}"/>
    <cellStyle name="Heading 2 2" xfId="34" xr:uid="{00000000-0005-0000-0000-000025000000}"/>
    <cellStyle name="Heading 3 2" xfId="35" xr:uid="{00000000-0005-0000-0000-000026000000}"/>
    <cellStyle name="Heading 4 2" xfId="36" xr:uid="{00000000-0005-0000-0000-000027000000}"/>
    <cellStyle name="Hyperlink" xfId="85" builtinId="8"/>
    <cellStyle name="Input 2" xfId="37" xr:uid="{00000000-0005-0000-0000-000029000000}"/>
    <cellStyle name="Linked Cell 2" xfId="38" xr:uid="{00000000-0005-0000-0000-00002A000000}"/>
    <cellStyle name="Neutral 2" xfId="39" xr:uid="{00000000-0005-0000-0000-00002B000000}"/>
    <cellStyle name="Normal" xfId="0" builtinId="0"/>
    <cellStyle name="Normal 2" xfId="40" xr:uid="{00000000-0005-0000-0000-00002D000000}"/>
    <cellStyle name="Normal 2 10" xfId="41" xr:uid="{00000000-0005-0000-0000-00002E000000}"/>
    <cellStyle name="Normal 2 11" xfId="42" xr:uid="{00000000-0005-0000-0000-00002F000000}"/>
    <cellStyle name="Normal 2 2" xfId="43" xr:uid="{00000000-0005-0000-0000-000030000000}"/>
    <cellStyle name="Normal 2 2 3" xfId="67" xr:uid="{00000000-0005-0000-0000-000031000000}"/>
    <cellStyle name="Normal 2 3" xfId="44" xr:uid="{00000000-0005-0000-0000-000032000000}"/>
    <cellStyle name="Normal 2 4" xfId="45" xr:uid="{00000000-0005-0000-0000-000033000000}"/>
    <cellStyle name="Normal 2 5" xfId="46" xr:uid="{00000000-0005-0000-0000-000034000000}"/>
    <cellStyle name="Normal 2 6" xfId="47" xr:uid="{00000000-0005-0000-0000-000035000000}"/>
    <cellStyle name="Normal 2 7" xfId="48" xr:uid="{00000000-0005-0000-0000-000036000000}"/>
    <cellStyle name="Normal 2 8" xfId="49" xr:uid="{00000000-0005-0000-0000-000037000000}"/>
    <cellStyle name="Normal 2 9" xfId="50" xr:uid="{00000000-0005-0000-0000-000038000000}"/>
    <cellStyle name="Normal 3" xfId="51" xr:uid="{00000000-0005-0000-0000-000039000000}"/>
    <cellStyle name="Normal 4" xfId="2" xr:uid="{00000000-0005-0000-0000-00003A000000}"/>
    <cellStyle name="Normal 4 2" xfId="68" xr:uid="{00000000-0005-0000-0000-00003B000000}"/>
    <cellStyle name="Normal 5" xfId="61" xr:uid="{00000000-0005-0000-0000-00003C000000}"/>
    <cellStyle name="Normal 8 2" xfId="69" xr:uid="{00000000-0005-0000-0000-00003D000000}"/>
    <cellStyle name="Normal_T 4.4 Gross generation of electricity" xfId="52" xr:uid="{00000000-0005-0000-0000-00003E000000}"/>
    <cellStyle name="Note 2" xfId="53" xr:uid="{00000000-0005-0000-0000-00003F000000}"/>
    <cellStyle name="Num0 - Style7" xfId="70" xr:uid="{00000000-0005-0000-0000-000040000000}"/>
    <cellStyle name="Num2 - Style8" xfId="71" xr:uid="{00000000-0005-0000-0000-000041000000}"/>
    <cellStyle name="Numeri - Style1" xfId="72" xr:uid="{00000000-0005-0000-0000-000042000000}"/>
    <cellStyle name="Output 2" xfId="54" xr:uid="{00000000-0005-0000-0000-000043000000}"/>
    <cellStyle name="Percent" xfId="1" builtinId="5"/>
    <cellStyle name="Row headings" xfId="73" xr:uid="{00000000-0005-0000-0000-000045000000}"/>
    <cellStyle name="Row headings Level 1" xfId="74" xr:uid="{00000000-0005-0000-0000-000046000000}"/>
    <cellStyle name="Row headings Level 2" xfId="75" xr:uid="{00000000-0005-0000-0000-000047000000}"/>
    <cellStyle name="sHeadingCommodity" xfId="55" xr:uid="{00000000-0005-0000-0000-000048000000}"/>
    <cellStyle name="Source - Style2" xfId="76" xr:uid="{00000000-0005-0000-0000-000049000000}"/>
    <cellStyle name="Sources list" xfId="77" xr:uid="{00000000-0005-0000-0000-00004A000000}"/>
    <cellStyle name="Sources Title" xfId="78" xr:uid="{00000000-0005-0000-0000-00004B000000}"/>
    <cellStyle name="sValue" xfId="56" xr:uid="{00000000-0005-0000-0000-00004C000000}"/>
    <cellStyle name="sYear" xfId="57" xr:uid="{00000000-0005-0000-0000-00004D000000}"/>
    <cellStyle name="Table  - Style3" xfId="79" xr:uid="{00000000-0005-0000-0000-00004E000000}"/>
    <cellStyle name="Table  - Style4" xfId="80" xr:uid="{00000000-0005-0000-0000-00004F000000}"/>
    <cellStyle name="Table  - Style6" xfId="81" xr:uid="{00000000-0005-0000-0000-000050000000}"/>
    <cellStyle name="Table no" xfId="82" xr:uid="{00000000-0005-0000-0000-000051000000}"/>
    <cellStyle name="Title 2" xfId="58" xr:uid="{00000000-0005-0000-0000-000052000000}"/>
    <cellStyle name="Total 2" xfId="59" xr:uid="{00000000-0005-0000-0000-000053000000}"/>
    <cellStyle name="Vírgula 2" xfId="84" xr:uid="{00000000-0005-0000-0000-000054000000}"/>
    <cellStyle name="Warning Text 2" xfId="60" xr:uid="{00000000-0005-0000-0000-000055000000}"/>
  </cellStyles>
  <dxfs count="0"/>
  <tableStyles count="0" defaultTableStyle="TableStyleMedium2" defaultPivotStyle="PivotStyleLight16"/>
  <colors>
    <mruColors>
      <color rgb="FF99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2598632</xdr:colOff>
      <xdr:row>1</xdr:row>
      <xdr:rowOff>119212</xdr:rowOff>
    </xdr:from>
    <xdr:to>
      <xdr:col>3</xdr:col>
      <xdr:colOff>3940190</xdr:colOff>
      <xdr:row>4</xdr:row>
      <xdr:rowOff>223147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3320" y="369243"/>
          <a:ext cx="1341558" cy="854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95249</xdr:colOff>
      <xdr:row>1</xdr:row>
      <xdr:rowOff>144325</xdr:rowOff>
    </xdr:from>
    <xdr:to>
      <xdr:col>6</xdr:col>
      <xdr:colOff>513551</xdr:colOff>
      <xdr:row>9</xdr:row>
      <xdr:rowOff>133007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95249" y="334825"/>
          <a:ext cx="5247477" cy="2255632"/>
        </a:xfrm>
        <a:prstGeom prst="rect">
          <a:avLst/>
        </a:prstGeom>
      </xdr:spPr>
    </xdr:pic>
    <xdr:clientData/>
  </xdr:twoCellAnchor>
  <xdr:twoCellAnchor editAs="oneCell">
    <xdr:from>
      <xdr:col>0</xdr:col>
      <xdr:colOff>171450</xdr:colOff>
      <xdr:row>12</xdr:row>
      <xdr:rowOff>180975</xdr:rowOff>
    </xdr:from>
    <xdr:to>
      <xdr:col>6</xdr:col>
      <xdr:colOff>419100</xdr:colOff>
      <xdr:row>20</xdr:row>
      <xdr:rowOff>18709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stretch>
          <a:fillRect/>
        </a:stretch>
      </xdr:blipFill>
      <xdr:spPr>
        <a:xfrm>
          <a:off x="171450" y="3019425"/>
          <a:ext cx="5076825" cy="1980859"/>
        </a:xfrm>
        <a:prstGeom prst="rect">
          <a:avLst/>
        </a:prstGeom>
      </xdr:spPr>
    </xdr:pic>
    <xdr:clientData/>
  </xdr:twoCellAnchor>
  <xdr:twoCellAnchor editAs="oneCell">
    <xdr:from>
      <xdr:col>0</xdr:col>
      <xdr:colOff>85725</xdr:colOff>
      <xdr:row>38</xdr:row>
      <xdr:rowOff>9525</xdr:rowOff>
    </xdr:from>
    <xdr:to>
      <xdr:col>5</xdr:col>
      <xdr:colOff>113773</xdr:colOff>
      <xdr:row>47</xdr:row>
      <xdr:rowOff>75967</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3" cstate="print"/>
        <a:stretch>
          <a:fillRect/>
        </a:stretch>
      </xdr:blipFill>
      <xdr:spPr>
        <a:xfrm>
          <a:off x="85725" y="9010650"/>
          <a:ext cx="4219048" cy="186666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0"/>
  <sheetViews>
    <sheetView tabSelected="1" zoomScale="70" zoomScaleNormal="70" workbookViewId="0">
      <selection activeCell="D16" sqref="D16"/>
    </sheetView>
  </sheetViews>
  <sheetFormatPr defaultColWidth="11.42578125" defaultRowHeight="19.5"/>
  <cols>
    <col min="1" max="2" width="11.42578125" style="200"/>
    <col min="3" max="3" width="25.28515625" style="200" customWidth="1"/>
    <col min="4" max="4" width="126" style="200" customWidth="1"/>
    <col min="5" max="5" width="11.42578125" style="200"/>
    <col min="6" max="6" width="42.28515625" style="200" customWidth="1"/>
    <col min="7" max="16384" width="11.42578125" style="200"/>
  </cols>
  <sheetData>
    <row r="1" spans="1:6">
      <c r="A1" s="197"/>
      <c r="B1" s="198"/>
      <c r="C1" s="197"/>
      <c r="D1" s="199"/>
      <c r="E1" s="197"/>
      <c r="F1" s="197"/>
    </row>
    <row r="2" spans="1:6">
      <c r="A2" s="199"/>
      <c r="B2" s="197"/>
      <c r="C2" s="201"/>
      <c r="D2" s="199"/>
      <c r="E2" s="197"/>
      <c r="F2" s="197"/>
    </row>
    <row r="3" spans="1:6">
      <c r="A3" s="197"/>
      <c r="B3" s="202"/>
      <c r="C3" s="197"/>
      <c r="D3" s="199"/>
      <c r="E3" s="197"/>
      <c r="F3" s="197"/>
    </row>
    <row r="4" spans="1:6">
      <c r="A4" s="197"/>
      <c r="B4" s="197"/>
      <c r="C4" s="197"/>
      <c r="D4" s="199"/>
      <c r="E4" s="197"/>
      <c r="F4" s="197"/>
    </row>
    <row r="5" spans="1:6" ht="20.25" thickBot="1">
      <c r="A5" s="197"/>
      <c r="B5" s="197"/>
      <c r="C5" s="198"/>
      <c r="D5" s="203"/>
      <c r="E5" s="197"/>
      <c r="F5" s="197"/>
    </row>
    <row r="6" spans="1:6" ht="20.25" thickBot="1">
      <c r="A6" s="197"/>
      <c r="B6" s="199"/>
      <c r="C6" s="214" t="s">
        <v>206</v>
      </c>
      <c r="D6" s="204" t="s">
        <v>207</v>
      </c>
      <c r="E6" s="201"/>
      <c r="F6" s="197"/>
    </row>
    <row r="7" spans="1:6">
      <c r="A7" s="197"/>
      <c r="B7" s="199"/>
      <c r="C7" s="222" t="s">
        <v>222</v>
      </c>
      <c r="D7" s="220" t="s">
        <v>223</v>
      </c>
      <c r="E7" s="201"/>
      <c r="F7" s="197"/>
    </row>
    <row r="8" spans="1:6">
      <c r="A8" s="197"/>
      <c r="B8" s="199"/>
      <c r="C8" s="215" t="s">
        <v>208</v>
      </c>
      <c r="D8" s="205" t="s">
        <v>209</v>
      </c>
      <c r="E8" s="201"/>
      <c r="F8" s="197"/>
    </row>
    <row r="9" spans="1:6" ht="39">
      <c r="A9" s="197"/>
      <c r="B9" s="199"/>
      <c r="C9" s="216" t="s">
        <v>210</v>
      </c>
      <c r="D9" s="205" t="s">
        <v>211</v>
      </c>
      <c r="E9" s="201"/>
      <c r="F9" s="197"/>
    </row>
    <row r="10" spans="1:6" ht="39">
      <c r="A10" s="197"/>
      <c r="B10" s="199"/>
      <c r="C10" s="216" t="s">
        <v>212</v>
      </c>
      <c r="D10" s="206" t="s">
        <v>213</v>
      </c>
      <c r="E10" s="201"/>
      <c r="F10" s="208"/>
    </row>
    <row r="11" spans="1:6" ht="156">
      <c r="A11" s="197"/>
      <c r="B11" s="199"/>
      <c r="C11" s="216" t="s">
        <v>214</v>
      </c>
      <c r="D11" s="207" t="s">
        <v>224</v>
      </c>
      <c r="E11" s="201"/>
      <c r="F11" s="210"/>
    </row>
    <row r="12" spans="1:6" ht="97.5">
      <c r="A12" s="197"/>
      <c r="B12" s="199"/>
      <c r="C12" s="215" t="s">
        <v>215</v>
      </c>
      <c r="D12" s="209" t="s">
        <v>225</v>
      </c>
      <c r="E12" s="201"/>
      <c r="F12" s="208"/>
    </row>
    <row r="13" spans="1:6">
      <c r="A13" s="197"/>
      <c r="B13" s="199"/>
      <c r="C13" s="215" t="s">
        <v>216</v>
      </c>
      <c r="D13" s="211" t="s">
        <v>226</v>
      </c>
      <c r="E13" s="201"/>
      <c r="F13" s="197"/>
    </row>
    <row r="14" spans="1:6">
      <c r="A14" s="197"/>
      <c r="B14" s="199"/>
      <c r="C14" s="217" t="s">
        <v>217</v>
      </c>
      <c r="D14" s="212" t="s">
        <v>221</v>
      </c>
      <c r="E14" s="201"/>
      <c r="F14" s="197"/>
    </row>
    <row r="15" spans="1:6" ht="156">
      <c r="A15" s="197"/>
      <c r="B15" s="199"/>
      <c r="C15" s="216" t="s">
        <v>218</v>
      </c>
      <c r="D15" s="221" t="s">
        <v>227</v>
      </c>
      <c r="E15" s="201"/>
      <c r="F15" s="197"/>
    </row>
    <row r="16" spans="1:6" ht="108" customHeight="1">
      <c r="A16" s="197"/>
      <c r="B16" s="199"/>
      <c r="C16" s="218" t="s">
        <v>219</v>
      </c>
      <c r="D16" s="235" t="s">
        <v>237</v>
      </c>
      <c r="E16" s="201"/>
      <c r="F16" s="197"/>
    </row>
    <row r="17" spans="1:6" ht="137.25" thickBot="1">
      <c r="A17" s="197"/>
      <c r="B17" s="197"/>
      <c r="C17" s="219" t="s">
        <v>220</v>
      </c>
      <c r="D17" s="213" t="s">
        <v>228</v>
      </c>
      <c r="E17" s="197"/>
      <c r="F17" s="197"/>
    </row>
    <row r="18" spans="1:6">
      <c r="A18" s="197"/>
      <c r="B18" s="197"/>
      <c r="C18" s="197"/>
      <c r="D18" s="197"/>
      <c r="E18" s="197"/>
      <c r="F18" s="197"/>
    </row>
    <row r="19" spans="1:6">
      <c r="A19" s="197"/>
      <c r="B19" s="197"/>
      <c r="C19" s="197"/>
      <c r="D19" s="197"/>
      <c r="E19" s="197"/>
      <c r="F19" s="197"/>
    </row>
    <row r="20" spans="1:6">
      <c r="A20" s="197"/>
      <c r="B20" s="197"/>
      <c r="C20" s="197"/>
      <c r="D20" s="197"/>
      <c r="E20" s="197"/>
      <c r="F20" s="197"/>
    </row>
    <row r="21" spans="1:6">
      <c r="A21" s="197"/>
      <c r="B21" s="197"/>
      <c r="C21" s="197"/>
      <c r="D21" s="197"/>
      <c r="E21" s="197"/>
      <c r="F21" s="197"/>
    </row>
    <row r="22" spans="1:6">
      <c r="A22" s="197"/>
      <c r="B22" s="197"/>
      <c r="C22" s="197"/>
      <c r="D22" s="197"/>
      <c r="E22" s="197"/>
      <c r="F22" s="197"/>
    </row>
    <row r="23" spans="1:6">
      <c r="A23" s="197"/>
      <c r="B23" s="197"/>
      <c r="C23" s="197"/>
      <c r="D23" s="197"/>
      <c r="E23" s="197"/>
      <c r="F23" s="197"/>
    </row>
    <row r="24" spans="1:6">
      <c r="A24" s="197"/>
      <c r="B24" s="197"/>
      <c r="C24" s="197"/>
      <c r="D24" s="197"/>
      <c r="E24" s="197"/>
      <c r="F24" s="197"/>
    </row>
    <row r="25" spans="1:6">
      <c r="A25" s="197"/>
      <c r="B25" s="197"/>
      <c r="C25" s="197"/>
      <c r="D25" s="197"/>
      <c r="E25" s="197"/>
      <c r="F25" s="197"/>
    </row>
    <row r="26" spans="1:6">
      <c r="A26" s="197"/>
      <c r="B26" s="197"/>
      <c r="C26" s="197"/>
      <c r="D26" s="197"/>
      <c r="E26" s="197"/>
      <c r="F26" s="197"/>
    </row>
    <row r="27" spans="1:6">
      <c r="A27" s="197"/>
      <c r="B27" s="197"/>
      <c r="C27" s="197"/>
      <c r="D27" s="197"/>
      <c r="E27" s="197"/>
      <c r="F27" s="197"/>
    </row>
    <row r="28" spans="1:6">
      <c r="A28" s="197"/>
      <c r="B28" s="197"/>
      <c r="C28" s="197"/>
      <c r="D28" s="197"/>
      <c r="E28" s="197"/>
      <c r="F28" s="197"/>
    </row>
    <row r="29" spans="1:6">
      <c r="A29" s="197"/>
      <c r="B29" s="197"/>
      <c r="C29" s="197"/>
      <c r="D29" s="197"/>
      <c r="E29" s="197"/>
      <c r="F29" s="197"/>
    </row>
    <row r="30" spans="1:6">
      <c r="A30" s="197"/>
      <c r="B30" s="197"/>
      <c r="C30" s="197"/>
      <c r="D30" s="197"/>
      <c r="E30" s="197"/>
      <c r="F30" s="197"/>
    </row>
    <row r="31" spans="1:6">
      <c r="A31" s="197"/>
      <c r="B31" s="197"/>
      <c r="C31" s="197"/>
      <c r="D31" s="197"/>
      <c r="E31" s="197"/>
      <c r="F31" s="197"/>
    </row>
    <row r="32" spans="1:6">
      <c r="A32" s="197"/>
      <c r="B32" s="197"/>
      <c r="C32" s="197"/>
      <c r="D32" s="197"/>
      <c r="E32" s="197"/>
      <c r="F32" s="197"/>
    </row>
    <row r="33" spans="1:6">
      <c r="A33" s="197"/>
      <c r="B33" s="197"/>
      <c r="C33" s="197"/>
      <c r="D33" s="197"/>
      <c r="E33" s="197"/>
      <c r="F33" s="197"/>
    </row>
    <row r="34" spans="1:6">
      <c r="A34" s="197"/>
      <c r="B34" s="197"/>
      <c r="C34" s="197"/>
      <c r="D34" s="197"/>
      <c r="E34" s="197"/>
      <c r="F34" s="197"/>
    </row>
    <row r="35" spans="1:6">
      <c r="A35" s="197"/>
      <c r="B35" s="197"/>
      <c r="C35" s="197"/>
      <c r="D35" s="197"/>
      <c r="E35" s="197"/>
      <c r="F35" s="197"/>
    </row>
    <row r="36" spans="1:6">
      <c r="A36" s="197"/>
      <c r="B36" s="197"/>
      <c r="C36" s="197"/>
      <c r="D36" s="197"/>
      <c r="E36" s="197"/>
      <c r="F36" s="197"/>
    </row>
    <row r="37" spans="1:6">
      <c r="A37" s="197"/>
      <c r="B37" s="197"/>
      <c r="C37" s="197"/>
      <c r="D37" s="197"/>
      <c r="E37" s="197"/>
      <c r="F37" s="197"/>
    </row>
    <row r="38" spans="1:6">
      <c r="A38" s="197"/>
      <c r="B38" s="197"/>
      <c r="C38" s="197"/>
      <c r="D38" s="197"/>
      <c r="E38" s="197"/>
      <c r="F38" s="197"/>
    </row>
    <row r="39" spans="1:6">
      <c r="A39" s="197"/>
      <c r="B39" s="197"/>
      <c r="C39" s="197"/>
      <c r="D39" s="197"/>
      <c r="E39" s="197"/>
      <c r="F39" s="197"/>
    </row>
    <row r="40" spans="1:6">
      <c r="A40" s="197"/>
      <c r="B40" s="197"/>
      <c r="C40" s="197"/>
      <c r="D40" s="197"/>
      <c r="E40" s="197"/>
      <c r="F40" s="197"/>
    </row>
    <row r="41" spans="1:6">
      <c r="A41" s="197"/>
      <c r="B41" s="197"/>
      <c r="C41" s="197"/>
      <c r="D41" s="197"/>
      <c r="E41" s="197"/>
      <c r="F41" s="197"/>
    </row>
    <row r="42" spans="1:6">
      <c r="A42" s="197"/>
      <c r="B42" s="197"/>
      <c r="C42" s="197"/>
      <c r="D42" s="197"/>
      <c r="E42" s="197"/>
      <c r="F42" s="197"/>
    </row>
    <row r="43" spans="1:6">
      <c r="A43" s="197"/>
      <c r="B43" s="197"/>
      <c r="C43" s="197"/>
      <c r="D43" s="197"/>
      <c r="E43" s="197"/>
      <c r="F43" s="197"/>
    </row>
    <row r="44" spans="1:6">
      <c r="A44" s="197"/>
      <c r="B44" s="197"/>
      <c r="C44" s="197"/>
      <c r="D44" s="197"/>
      <c r="E44" s="197"/>
      <c r="F44" s="197"/>
    </row>
    <row r="45" spans="1:6">
      <c r="A45" s="197"/>
      <c r="B45" s="197"/>
      <c r="C45" s="197"/>
      <c r="D45" s="197"/>
      <c r="E45" s="197"/>
      <c r="F45" s="197"/>
    </row>
    <row r="46" spans="1:6">
      <c r="A46" s="197"/>
      <c r="B46" s="197"/>
      <c r="C46" s="197"/>
      <c r="D46" s="197"/>
      <c r="E46" s="197"/>
      <c r="F46" s="197"/>
    </row>
    <row r="47" spans="1:6">
      <c r="A47" s="197"/>
      <c r="B47" s="197"/>
      <c r="C47" s="197"/>
      <c r="D47" s="197"/>
      <c r="E47" s="197"/>
      <c r="F47" s="197"/>
    </row>
    <row r="48" spans="1:6">
      <c r="A48" s="197"/>
      <c r="B48" s="197"/>
      <c r="C48" s="197"/>
      <c r="D48" s="197"/>
      <c r="E48" s="197"/>
      <c r="F48" s="197"/>
    </row>
    <row r="49" spans="1:6">
      <c r="A49" s="197"/>
      <c r="B49" s="197"/>
      <c r="C49" s="197"/>
      <c r="D49" s="197"/>
      <c r="E49" s="197"/>
      <c r="F49" s="197"/>
    </row>
    <row r="50" spans="1:6">
      <c r="A50" s="197"/>
      <c r="B50" s="197"/>
      <c r="C50" s="197"/>
      <c r="D50" s="197"/>
      <c r="E50" s="197"/>
      <c r="F50" s="197"/>
    </row>
    <row r="51" spans="1:6">
      <c r="A51" s="197"/>
      <c r="B51" s="197"/>
      <c r="C51" s="197"/>
      <c r="D51" s="197"/>
      <c r="E51" s="197"/>
      <c r="F51" s="197"/>
    </row>
    <row r="52" spans="1:6">
      <c r="A52" s="197"/>
      <c r="B52" s="197"/>
      <c r="C52" s="197"/>
      <c r="D52" s="197"/>
      <c r="E52" s="197"/>
      <c r="F52" s="197"/>
    </row>
    <row r="53" spans="1:6">
      <c r="A53" s="197"/>
      <c r="B53" s="197"/>
      <c r="C53" s="197"/>
      <c r="D53" s="197"/>
      <c r="E53" s="197"/>
      <c r="F53" s="197"/>
    </row>
    <row r="54" spans="1:6">
      <c r="A54" s="197"/>
      <c r="B54" s="197"/>
      <c r="C54" s="197"/>
      <c r="D54" s="197"/>
      <c r="E54" s="197"/>
      <c r="F54" s="197"/>
    </row>
    <row r="55" spans="1:6">
      <c r="A55" s="197"/>
      <c r="B55" s="197"/>
      <c r="C55" s="197"/>
      <c r="D55" s="197"/>
      <c r="E55" s="197"/>
      <c r="F55" s="197"/>
    </row>
    <row r="56" spans="1:6">
      <c r="A56" s="197"/>
      <c r="B56" s="197"/>
      <c r="C56" s="197"/>
      <c r="D56" s="197"/>
      <c r="E56" s="197"/>
      <c r="F56" s="197"/>
    </row>
    <row r="57" spans="1:6">
      <c r="A57" s="197"/>
      <c r="B57" s="197"/>
      <c r="C57" s="197"/>
      <c r="D57" s="197"/>
      <c r="E57" s="197"/>
      <c r="F57" s="197"/>
    </row>
    <row r="58" spans="1:6">
      <c r="A58" s="197"/>
      <c r="B58" s="197"/>
      <c r="C58" s="197"/>
      <c r="D58" s="197"/>
      <c r="E58" s="197"/>
      <c r="F58" s="197"/>
    </row>
    <row r="59" spans="1:6">
      <c r="A59" s="197"/>
      <c r="B59" s="197"/>
    </row>
    <row r="60" spans="1:6">
      <c r="A60" s="197"/>
      <c r="B60" s="197"/>
    </row>
    <row r="61" spans="1:6">
      <c r="A61" s="197"/>
      <c r="B61" s="197"/>
    </row>
    <row r="62" spans="1:6">
      <c r="A62" s="197"/>
      <c r="B62" s="197"/>
    </row>
    <row r="63" spans="1:6">
      <c r="A63" s="197"/>
      <c r="B63" s="197"/>
    </row>
    <row r="64" spans="1:6">
      <c r="A64" s="197"/>
      <c r="B64" s="197"/>
    </row>
    <row r="65" spans="1:2">
      <c r="A65" s="197"/>
      <c r="B65" s="197"/>
    </row>
    <row r="66" spans="1:2">
      <c r="A66" s="197"/>
      <c r="B66" s="197"/>
    </row>
    <row r="67" spans="1:2">
      <c r="A67" s="197"/>
      <c r="B67" s="197"/>
    </row>
    <row r="68" spans="1:2">
      <c r="A68" s="197"/>
      <c r="B68" s="197"/>
    </row>
    <row r="69" spans="1:2">
      <c r="A69" s="197"/>
      <c r="B69" s="197"/>
    </row>
    <row r="70" spans="1:2">
      <c r="A70" s="197"/>
      <c r="B70" s="197"/>
    </row>
    <row r="71" spans="1:2">
      <c r="A71" s="197"/>
      <c r="B71" s="197"/>
    </row>
    <row r="72" spans="1:2">
      <c r="A72" s="197"/>
      <c r="B72" s="197"/>
    </row>
    <row r="73" spans="1:2">
      <c r="A73" s="197"/>
      <c r="B73" s="197"/>
    </row>
    <row r="74" spans="1:2">
      <c r="A74" s="197"/>
      <c r="B74" s="197"/>
    </row>
    <row r="75" spans="1:2">
      <c r="A75" s="197"/>
      <c r="B75" s="197"/>
    </row>
    <row r="76" spans="1:2">
      <c r="A76" s="197"/>
      <c r="B76" s="197"/>
    </row>
    <row r="77" spans="1:2">
      <c r="A77" s="197"/>
      <c r="B77" s="197"/>
    </row>
    <row r="78" spans="1:2">
      <c r="A78" s="197"/>
      <c r="B78" s="197"/>
    </row>
    <row r="79" spans="1:2">
      <c r="A79" s="197"/>
      <c r="B79" s="197"/>
    </row>
    <row r="80" spans="1:2">
      <c r="A80" s="197"/>
      <c r="B80" s="197"/>
    </row>
  </sheetData>
  <hyperlinks>
    <hyperlink ref="D14" r:id="rId1" display="info@ghgplatform-india.org" xr:uid="{00000000-0004-0000-0000-000000000000}"/>
  </hyperlinks>
  <pageMargins left="0.7" right="0.7" top="0.75" bottom="0.75" header="0.3" footer="0.3"/>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C9"/>
  <sheetViews>
    <sheetView workbookViewId="0">
      <selection activeCell="B19" sqref="B19"/>
    </sheetView>
  </sheetViews>
  <sheetFormatPr defaultRowHeight="15"/>
  <cols>
    <col min="1" max="1" width="9.140625" style="224"/>
    <col min="2" max="2" width="23" style="224" customWidth="1"/>
    <col min="3" max="3" width="90.7109375" style="224" customWidth="1"/>
    <col min="4" max="16384" width="9.140625" style="224"/>
  </cols>
  <sheetData>
    <row r="4" spans="2:3" ht="15.75" thickBot="1"/>
    <row r="5" spans="2:3" ht="15.75">
      <c r="B5" s="225" t="s">
        <v>229</v>
      </c>
      <c r="C5" s="226" t="s">
        <v>230</v>
      </c>
    </row>
    <row r="6" spans="2:3" ht="15.75">
      <c r="B6" s="227" t="s">
        <v>231</v>
      </c>
      <c r="C6" s="228" t="s">
        <v>235</v>
      </c>
    </row>
    <row r="7" spans="2:3" ht="15.75">
      <c r="B7" s="229" t="s">
        <v>232</v>
      </c>
      <c r="C7" s="230"/>
    </row>
    <row r="8" spans="2:3" ht="15.75">
      <c r="B8" s="231" t="s">
        <v>233</v>
      </c>
      <c r="C8" s="232"/>
    </row>
    <row r="9" spans="2:3" ht="16.5" thickBot="1">
      <c r="B9" s="233" t="s">
        <v>234</v>
      </c>
      <c r="C9" s="234" t="s">
        <v>236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workbookViewId="0">
      <selection activeCell="M17" sqref="M17"/>
    </sheetView>
  </sheetViews>
  <sheetFormatPr defaultColWidth="8.85546875" defaultRowHeight="15.75"/>
  <cols>
    <col min="1" max="1" width="37.7109375" style="37" customWidth="1"/>
    <col min="2" max="2" width="17.42578125" style="37" customWidth="1"/>
    <col min="3" max="16384" width="8.85546875" style="37"/>
  </cols>
  <sheetData>
    <row r="1" spans="1:11" ht="16.5" thickBot="1">
      <c r="A1" s="154" t="s">
        <v>102</v>
      </c>
      <c r="B1" s="66"/>
      <c r="C1" s="66"/>
      <c r="D1" s="66"/>
      <c r="E1" s="66"/>
      <c r="F1" s="66"/>
      <c r="G1" s="66"/>
      <c r="H1" s="66"/>
      <c r="I1" s="66"/>
    </row>
    <row r="2" spans="1:11">
      <c r="A2" s="157" t="s">
        <v>112</v>
      </c>
      <c r="B2" s="158"/>
      <c r="C2" s="159" t="s">
        <v>26</v>
      </c>
      <c r="D2" s="159" t="s">
        <v>0</v>
      </c>
      <c r="E2" s="159" t="s">
        <v>1</v>
      </c>
      <c r="F2" s="159" t="s">
        <v>2</v>
      </c>
      <c r="G2" s="159" t="s">
        <v>3</v>
      </c>
      <c r="H2" s="159" t="s">
        <v>4</v>
      </c>
      <c r="I2" s="160" t="s">
        <v>27</v>
      </c>
      <c r="J2" s="99"/>
      <c r="K2" s="99"/>
    </row>
    <row r="3" spans="1:11">
      <c r="A3" s="161" t="s">
        <v>104</v>
      </c>
      <c r="B3" s="155" t="s">
        <v>105</v>
      </c>
      <c r="C3" s="166">
        <f>FugitiveEmissions!E53</f>
        <v>19.567411063116001</v>
      </c>
      <c r="D3" s="166">
        <f>FugitiveEmissions!F53</f>
        <v>20.302832814432001</v>
      </c>
      <c r="E3" s="166">
        <f>FugitiveEmissions!G53</f>
        <v>20.9942999111496</v>
      </c>
      <c r="F3" s="166">
        <f>FugitiveEmissions!H53</f>
        <v>21.651959049033604</v>
      </c>
      <c r="G3" s="166">
        <f>FugitiveEmissions!I53</f>
        <v>20.940324947388003</v>
      </c>
      <c r="H3" s="166">
        <f>FugitiveEmissions!J53</f>
        <v>20.508138535432803</v>
      </c>
      <c r="I3" s="167">
        <f>FugitiveEmissions!K53</f>
        <v>20.867810349036002</v>
      </c>
      <c r="J3" s="101"/>
      <c r="K3" s="101"/>
    </row>
    <row r="4" spans="1:11">
      <c r="A4" s="161"/>
      <c r="B4" s="155" t="s">
        <v>151</v>
      </c>
      <c r="C4" s="166">
        <f>0.73*21</f>
        <v>15.33</v>
      </c>
      <c r="D4" s="166"/>
      <c r="E4" s="166"/>
      <c r="F4" s="166">
        <v>16</v>
      </c>
      <c r="G4" s="166"/>
      <c r="H4" s="166"/>
      <c r="I4" s="167"/>
      <c r="J4" s="101"/>
      <c r="K4" s="101"/>
    </row>
    <row r="5" spans="1:11">
      <c r="A5" s="161"/>
      <c r="B5" s="155" t="s">
        <v>150</v>
      </c>
      <c r="C5" s="168">
        <f>1-C4/C3</f>
        <v>0.21655450736165083</v>
      </c>
      <c r="D5" s="168"/>
      <c r="E5" s="166"/>
      <c r="F5" s="168">
        <f>1-F4/F3</f>
        <v>0.26103684365160795</v>
      </c>
      <c r="G5" s="166"/>
      <c r="H5" s="166"/>
      <c r="I5" s="167"/>
      <c r="J5" s="101"/>
      <c r="K5" s="101"/>
    </row>
    <row r="6" spans="1:11">
      <c r="A6" s="161" t="s">
        <v>103</v>
      </c>
      <c r="B6" s="155" t="s">
        <v>105</v>
      </c>
      <c r="C6" s="166">
        <f>FugitiveEmissions!E86</f>
        <v>15.617966617813565</v>
      </c>
      <c r="D6" s="166">
        <f>FugitiveEmissions!F86</f>
        <v>15.872266443109046</v>
      </c>
      <c r="E6" s="166">
        <f>FugitiveEmissions!G86</f>
        <v>15.983030915746832</v>
      </c>
      <c r="F6" s="166">
        <f>FugitiveEmissions!H86</f>
        <v>23.515700818936772</v>
      </c>
      <c r="G6" s="166">
        <f>FugitiveEmissions!I86</f>
        <v>26.126213141689618</v>
      </c>
      <c r="H6" s="166">
        <f>FugitiveEmissions!J86</f>
        <v>23.613036402536459</v>
      </c>
      <c r="I6" s="167">
        <f>FugitiveEmissions!K86</f>
        <v>20.048058442407761</v>
      </c>
      <c r="J6" s="101"/>
      <c r="K6" s="101"/>
    </row>
    <row r="7" spans="1:11">
      <c r="A7" s="161"/>
      <c r="B7" s="155" t="s">
        <v>151</v>
      </c>
      <c r="C7" s="166">
        <f>C10-C4</f>
        <v>16.36</v>
      </c>
      <c r="D7" s="166"/>
      <c r="E7" s="166"/>
      <c r="F7" s="166">
        <f>(1392.01+31311.63+13.02)/1000</f>
        <v>32.716659999999997</v>
      </c>
      <c r="G7" s="166"/>
      <c r="H7" s="166"/>
      <c r="I7" s="167"/>
      <c r="J7" s="101"/>
      <c r="K7" s="101"/>
    </row>
    <row r="8" spans="1:11">
      <c r="A8" s="161"/>
      <c r="B8" s="155" t="s">
        <v>150</v>
      </c>
      <c r="C8" s="168">
        <f>1-C7/C6</f>
        <v>-4.7511523128759059E-2</v>
      </c>
      <c r="D8" s="166"/>
      <c r="E8" s="166"/>
      <c r="F8" s="168">
        <f>1-F7/F6</f>
        <v>-0.39126876344905104</v>
      </c>
      <c r="G8" s="168">
        <f>1-F7/G6</f>
        <v>-0.25225419476479738</v>
      </c>
      <c r="H8" s="166"/>
      <c r="I8" s="167"/>
      <c r="J8" s="101"/>
      <c r="K8" s="101"/>
    </row>
    <row r="9" spans="1:11">
      <c r="A9" s="163" t="s">
        <v>56</v>
      </c>
      <c r="B9" s="155" t="s">
        <v>105</v>
      </c>
      <c r="C9" s="166">
        <f>FugitiveEmissions!E88</f>
        <v>35.185377680929562</v>
      </c>
      <c r="D9" s="166">
        <f>FugitiveEmissions!F88</f>
        <v>36.175099257541049</v>
      </c>
      <c r="E9" s="166">
        <f>FugitiveEmissions!G88</f>
        <v>36.977330826896434</v>
      </c>
      <c r="F9" s="166">
        <f>FugitiveEmissions!H88</f>
        <v>45.167659867970372</v>
      </c>
      <c r="G9" s="166">
        <f>FugitiveEmissions!I88</f>
        <v>47.066538089077625</v>
      </c>
      <c r="H9" s="166">
        <f>FugitiveEmissions!J88</f>
        <v>44.121174937969258</v>
      </c>
      <c r="I9" s="167">
        <f>FugitiveEmissions!K88</f>
        <v>40.915868791443764</v>
      </c>
      <c r="J9" s="101"/>
      <c r="K9" s="101"/>
    </row>
    <row r="10" spans="1:11">
      <c r="A10" s="163"/>
      <c r="B10" s="155" t="s">
        <v>151</v>
      </c>
      <c r="C10" s="166">
        <v>31.69</v>
      </c>
      <c r="D10" s="166"/>
      <c r="E10" s="166"/>
      <c r="F10" s="166">
        <f>F4+F7</f>
        <v>48.716659999999997</v>
      </c>
      <c r="G10" s="166"/>
      <c r="H10" s="166"/>
      <c r="I10" s="167"/>
      <c r="J10" s="101"/>
      <c r="K10" s="101"/>
    </row>
    <row r="11" spans="1:11" ht="16.5" thickBot="1">
      <c r="A11" s="164"/>
      <c r="B11" s="165" t="s">
        <v>150</v>
      </c>
      <c r="C11" s="169">
        <f>1-C10/C9</f>
        <v>9.9341769544911029E-2</v>
      </c>
      <c r="D11" s="169"/>
      <c r="E11" s="170"/>
      <c r="F11" s="169">
        <f>1-F10/F9</f>
        <v>-7.8573920862929691E-2</v>
      </c>
      <c r="G11" s="169">
        <f>1-F10/G9</f>
        <v>-3.505934317496151E-2</v>
      </c>
      <c r="H11" s="170"/>
      <c r="I11" s="171"/>
      <c r="J11" s="36"/>
      <c r="K11" s="36"/>
    </row>
    <row r="12" spans="1:11">
      <c r="E12" s="102"/>
    </row>
    <row r="13" spans="1:11" ht="16.5" thickBot="1"/>
    <row r="14" spans="1:11">
      <c r="A14" s="172" t="s">
        <v>114</v>
      </c>
      <c r="B14" s="173"/>
      <c r="C14" s="174">
        <v>2006</v>
      </c>
      <c r="D14" s="174">
        <v>2007</v>
      </c>
      <c r="E14" s="174">
        <v>2008</v>
      </c>
      <c r="F14" s="174">
        <v>2009</v>
      </c>
      <c r="G14" s="174">
        <v>2010</v>
      </c>
      <c r="H14" s="174">
        <v>2011</v>
      </c>
      <c r="I14" s="175">
        <v>2012</v>
      </c>
    </row>
    <row r="15" spans="1:11">
      <c r="A15" s="176" t="s">
        <v>104</v>
      </c>
      <c r="B15" s="156"/>
      <c r="C15" s="166">
        <f>K3*1/4+3/4*C3</f>
        <v>14.675558297337002</v>
      </c>
      <c r="D15" s="166">
        <f t="shared" ref="D15:I15" si="0">C3*1/4+3/4*D3</f>
        <v>20.118977376603002</v>
      </c>
      <c r="E15" s="166">
        <f t="shared" si="0"/>
        <v>20.821433136970199</v>
      </c>
      <c r="F15" s="166">
        <f t="shared" si="0"/>
        <v>21.487544264562601</v>
      </c>
      <c r="G15" s="166">
        <f t="shared" si="0"/>
        <v>21.118233472799403</v>
      </c>
      <c r="H15" s="166">
        <f t="shared" si="0"/>
        <v>20.616185138421603</v>
      </c>
      <c r="I15" s="167">
        <f t="shared" si="0"/>
        <v>20.777892395635202</v>
      </c>
    </row>
    <row r="16" spans="1:11">
      <c r="A16" s="176" t="s">
        <v>115</v>
      </c>
      <c r="B16" s="156"/>
      <c r="C16" s="166">
        <f>K6*1/4+3/4*C6</f>
        <v>11.713474963360174</v>
      </c>
      <c r="D16" s="166">
        <f t="shared" ref="D16:I16" si="1">C6*1/4+3/4*D6</f>
        <v>15.808691486785175</v>
      </c>
      <c r="E16" s="166">
        <f t="shared" si="1"/>
        <v>15.955339797587387</v>
      </c>
      <c r="F16" s="166">
        <f t="shared" si="1"/>
        <v>21.632533343139286</v>
      </c>
      <c r="G16" s="166">
        <f t="shared" si="1"/>
        <v>25.473585061001408</v>
      </c>
      <c r="H16" s="166">
        <f t="shared" si="1"/>
        <v>24.241330587324747</v>
      </c>
      <c r="I16" s="167">
        <f t="shared" si="1"/>
        <v>20.939302932439936</v>
      </c>
    </row>
    <row r="17" spans="1:9">
      <c r="A17" s="176" t="s">
        <v>116</v>
      </c>
      <c r="B17" s="156"/>
      <c r="C17" s="166">
        <f>K9*1/4+3/4*C9</f>
        <v>26.389033260697172</v>
      </c>
      <c r="D17" s="166">
        <f t="shared" ref="D17:I17" si="2">C9*1/4+3/4*D9</f>
        <v>35.927668863388178</v>
      </c>
      <c r="E17" s="166">
        <f t="shared" si="2"/>
        <v>36.776772934557584</v>
      </c>
      <c r="F17" s="166">
        <f t="shared" si="2"/>
        <v>43.120077607701887</v>
      </c>
      <c r="G17" s="166">
        <f t="shared" si="2"/>
        <v>46.591818533800812</v>
      </c>
      <c r="H17" s="166">
        <f t="shared" si="2"/>
        <v>44.857515725746346</v>
      </c>
      <c r="I17" s="167">
        <f t="shared" si="2"/>
        <v>41.717195328075135</v>
      </c>
    </row>
    <row r="18" spans="1:9">
      <c r="A18" s="176"/>
      <c r="B18" s="155"/>
      <c r="C18" s="166"/>
      <c r="D18" s="166"/>
      <c r="E18" s="166"/>
      <c r="F18" s="166"/>
      <c r="G18" s="166"/>
      <c r="H18" s="166"/>
      <c r="I18" s="167"/>
    </row>
    <row r="19" spans="1:9" ht="16.5" thickBot="1">
      <c r="A19" s="177"/>
      <c r="B19" s="178"/>
      <c r="C19" s="170"/>
      <c r="D19" s="169">
        <f>(D17-C10)/D17</f>
        <v>0.11795000893326929</v>
      </c>
      <c r="E19" s="170"/>
      <c r="F19" s="170"/>
      <c r="G19" s="169">
        <f>(G17-F10)/G17</f>
        <v>-4.5605463213625894E-2</v>
      </c>
      <c r="H19" s="170"/>
      <c r="I19" s="171"/>
    </row>
    <row r="20" spans="1:9">
      <c r="G20" s="102"/>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88"/>
  <sheetViews>
    <sheetView topLeftCell="A73" zoomScale="85" zoomScaleNormal="85" zoomScalePageLayoutView="90" workbookViewId="0">
      <selection activeCell="J76" sqref="J76"/>
    </sheetView>
  </sheetViews>
  <sheetFormatPr defaultColWidth="8.85546875" defaultRowHeight="15.75"/>
  <cols>
    <col min="1" max="1" width="32.42578125" style="37" customWidth="1"/>
    <col min="2" max="2" width="40.140625" style="37" customWidth="1"/>
    <col min="3" max="3" width="11" style="37" customWidth="1"/>
    <col min="4" max="4" width="13.7109375" style="37" customWidth="1"/>
    <col min="5" max="7" width="11.42578125" style="37" bestFit="1" customWidth="1"/>
    <col min="8" max="8" width="10.7109375" style="37" customWidth="1"/>
    <col min="9" max="11" width="11.42578125" style="37" bestFit="1" customWidth="1"/>
    <col min="12" max="16384" width="8.85546875" style="37"/>
  </cols>
  <sheetData>
    <row r="2" spans="1:11">
      <c r="A2" s="68" t="s">
        <v>111</v>
      </c>
    </row>
    <row r="3" spans="1:11">
      <c r="A3" s="69"/>
      <c r="B3" s="37" t="s">
        <v>106</v>
      </c>
    </row>
    <row r="4" spans="1:11">
      <c r="A4" s="70"/>
      <c r="B4" s="37" t="s">
        <v>107</v>
      </c>
    </row>
    <row r="5" spans="1:11">
      <c r="A5" s="71"/>
      <c r="B5" s="37" t="s">
        <v>108</v>
      </c>
    </row>
    <row r="6" spans="1:11">
      <c r="A6" s="72"/>
      <c r="B6" s="37" t="s">
        <v>109</v>
      </c>
    </row>
    <row r="7" spans="1:11">
      <c r="A7" s="73"/>
      <c r="B7" s="37" t="s">
        <v>110</v>
      </c>
    </row>
    <row r="8" spans="1:11">
      <c r="A8" s="74"/>
      <c r="B8" s="37" t="s">
        <v>105</v>
      </c>
    </row>
    <row r="10" spans="1:11">
      <c r="A10" s="63" t="s">
        <v>6</v>
      </c>
    </row>
    <row r="11" spans="1:11" ht="16.5" thickBot="1">
      <c r="A11" s="75" t="s">
        <v>7</v>
      </c>
      <c r="B11" s="76"/>
      <c r="C11" s="76"/>
      <c r="D11" s="76"/>
      <c r="E11" s="76"/>
      <c r="F11" s="76"/>
      <c r="G11" s="76"/>
      <c r="H11" s="76"/>
      <c r="I11" s="76"/>
      <c r="J11" s="76"/>
      <c r="K11" s="76"/>
    </row>
    <row r="12" spans="1:11" ht="16.5" thickBot="1">
      <c r="A12" s="63" t="s">
        <v>8</v>
      </c>
      <c r="B12" s="66"/>
      <c r="C12" s="66"/>
      <c r="D12" s="66"/>
      <c r="E12" s="66"/>
      <c r="F12" s="66"/>
      <c r="G12" s="66"/>
      <c r="H12" s="66"/>
      <c r="I12" s="66"/>
      <c r="J12" s="66"/>
      <c r="K12" s="66"/>
    </row>
    <row r="13" spans="1:11">
      <c r="B13" s="123" t="s">
        <v>41</v>
      </c>
      <c r="C13" s="142" t="s">
        <v>24</v>
      </c>
      <c r="D13" s="142" t="s">
        <v>25</v>
      </c>
      <c r="E13" s="142" t="s">
        <v>26</v>
      </c>
      <c r="F13" s="142" t="s">
        <v>0</v>
      </c>
      <c r="G13" s="142" t="s">
        <v>1</v>
      </c>
      <c r="H13" s="142" t="s">
        <v>2</v>
      </c>
      <c r="I13" s="142" t="s">
        <v>3</v>
      </c>
      <c r="J13" s="142" t="s">
        <v>4</v>
      </c>
      <c r="K13" s="143" t="s">
        <v>27</v>
      </c>
    </row>
    <row r="14" spans="1:11">
      <c r="B14" s="78" t="s">
        <v>5</v>
      </c>
      <c r="C14" s="148">
        <v>382.61</v>
      </c>
      <c r="D14" s="148">
        <v>407.04</v>
      </c>
      <c r="E14" s="148">
        <v>430.84</v>
      </c>
      <c r="F14" s="148">
        <v>457.08</v>
      </c>
      <c r="G14" s="148">
        <v>491.76</v>
      </c>
      <c r="H14" s="148">
        <v>532.04</v>
      </c>
      <c r="I14" s="148">
        <v>532.69000000000005</v>
      </c>
      <c r="J14" s="148">
        <v>539.94000000000005</v>
      </c>
      <c r="K14" s="149">
        <v>556.4</v>
      </c>
    </row>
    <row r="15" spans="1:11">
      <c r="B15" s="78" t="s">
        <v>32</v>
      </c>
      <c r="C15" s="150">
        <v>62.35</v>
      </c>
      <c r="D15" s="150">
        <v>60.97</v>
      </c>
      <c r="E15" s="150">
        <v>57.7</v>
      </c>
      <c r="F15" s="150">
        <v>58.9</v>
      </c>
      <c r="G15" s="150">
        <v>58.97</v>
      </c>
      <c r="H15" s="150">
        <v>58.52</v>
      </c>
      <c r="I15" s="150">
        <v>54.85</v>
      </c>
      <c r="J15" s="150">
        <v>51.96</v>
      </c>
      <c r="K15" s="151">
        <v>52.2</v>
      </c>
    </row>
    <row r="16" spans="1:11" ht="16.5" thickBot="1">
      <c r="B16" s="91" t="s">
        <v>33</v>
      </c>
      <c r="C16" s="152">
        <v>320.26</v>
      </c>
      <c r="D16" s="152">
        <v>346.07</v>
      </c>
      <c r="E16" s="152">
        <v>373.13</v>
      </c>
      <c r="F16" s="152">
        <v>398.18</v>
      </c>
      <c r="G16" s="152">
        <v>433.78</v>
      </c>
      <c r="H16" s="152">
        <v>473.52</v>
      </c>
      <c r="I16" s="152">
        <v>477.84</v>
      </c>
      <c r="J16" s="152">
        <v>487.99</v>
      </c>
      <c r="K16" s="153">
        <v>504.19</v>
      </c>
    </row>
    <row r="18" spans="2:11" ht="16.5" thickBot="1"/>
    <row r="19" spans="2:11" ht="16.5" thickBot="1">
      <c r="B19" s="223" t="s">
        <v>42</v>
      </c>
      <c r="H19" s="93" t="s">
        <v>48</v>
      </c>
    </row>
    <row r="20" spans="2:11">
      <c r="B20" s="37" t="s">
        <v>40</v>
      </c>
      <c r="H20" s="37" t="s">
        <v>49</v>
      </c>
    </row>
    <row r="21" spans="2:11">
      <c r="B21" s="236" t="s">
        <v>34</v>
      </c>
      <c r="C21" s="236" t="s">
        <v>35</v>
      </c>
      <c r="D21" s="37" t="s">
        <v>36</v>
      </c>
      <c r="E21" s="72">
        <v>2.91</v>
      </c>
      <c r="H21" s="37" t="s">
        <v>50</v>
      </c>
    </row>
    <row r="22" spans="2:11">
      <c r="B22" s="236"/>
      <c r="C22" s="236"/>
      <c r="D22" s="37" t="s">
        <v>37</v>
      </c>
      <c r="E22" s="72">
        <v>13.08</v>
      </c>
    </row>
    <row r="23" spans="2:11">
      <c r="B23" s="236"/>
      <c r="C23" s="236"/>
      <c r="D23" s="37" t="s">
        <v>38</v>
      </c>
      <c r="E23" s="72">
        <v>23.64</v>
      </c>
    </row>
    <row r="24" spans="2:11">
      <c r="B24" s="236"/>
      <c r="C24" s="237" t="s">
        <v>39</v>
      </c>
      <c r="D24" s="37" t="s">
        <v>36</v>
      </c>
      <c r="E24" s="72">
        <v>0.98</v>
      </c>
      <c r="H24" s="93" t="s">
        <v>98</v>
      </c>
    </row>
    <row r="25" spans="2:11">
      <c r="B25" s="236"/>
      <c r="C25" s="237"/>
      <c r="D25" s="37" t="s">
        <v>37</v>
      </c>
      <c r="E25" s="72">
        <v>2.15</v>
      </c>
      <c r="H25" s="37" t="s">
        <v>99</v>
      </c>
    </row>
    <row r="26" spans="2:11">
      <c r="B26" s="236"/>
      <c r="C26" s="237"/>
      <c r="D26" s="37" t="s">
        <v>38</v>
      </c>
      <c r="E26" s="72">
        <v>3.12</v>
      </c>
    </row>
    <row r="27" spans="2:11">
      <c r="B27" s="236" t="s">
        <v>47</v>
      </c>
      <c r="C27" s="37" t="s">
        <v>35</v>
      </c>
      <c r="E27" s="72">
        <v>1.18</v>
      </c>
    </row>
    <row r="28" spans="2:11">
      <c r="B28" s="236"/>
      <c r="C28" s="37" t="s">
        <v>39</v>
      </c>
      <c r="E28" s="72">
        <v>0.15</v>
      </c>
    </row>
    <row r="29" spans="2:11" ht="16.5" thickBot="1"/>
    <row r="30" spans="2:11" ht="16.5" thickBot="1">
      <c r="B30" s="94" t="s">
        <v>43</v>
      </c>
      <c r="C30" s="95" t="s">
        <v>24</v>
      </c>
      <c r="D30" s="95" t="s">
        <v>25</v>
      </c>
      <c r="E30" s="95" t="s">
        <v>26</v>
      </c>
      <c r="F30" s="95" t="s">
        <v>0</v>
      </c>
      <c r="G30" s="95" t="s">
        <v>1</v>
      </c>
      <c r="H30" s="95" t="s">
        <v>2</v>
      </c>
      <c r="I30" s="95" t="s">
        <v>3</v>
      </c>
      <c r="J30" s="95" t="s">
        <v>4</v>
      </c>
      <c r="K30" s="96" t="s">
        <v>27</v>
      </c>
    </row>
    <row r="31" spans="2:11">
      <c r="B31" s="98" t="s">
        <v>45</v>
      </c>
      <c r="C31" s="66"/>
      <c r="D31" s="66"/>
      <c r="E31" s="66"/>
      <c r="F31" s="66"/>
      <c r="G31" s="66"/>
      <c r="H31" s="66"/>
      <c r="I31" s="66"/>
      <c r="J31" s="66"/>
      <c r="K31" s="79"/>
    </row>
    <row r="32" spans="2:11">
      <c r="B32" s="144" t="s">
        <v>44</v>
      </c>
      <c r="C32" s="66"/>
      <c r="D32" s="66"/>
      <c r="E32" s="66"/>
      <c r="F32" s="66"/>
      <c r="G32" s="66"/>
      <c r="H32" s="66"/>
      <c r="I32" s="66"/>
      <c r="J32" s="66"/>
      <c r="K32" s="79"/>
    </row>
    <row r="33" spans="1:11">
      <c r="B33" s="78" t="s">
        <v>51</v>
      </c>
      <c r="C33" s="121">
        <f>C15*0.33*$E$21</f>
        <v>59.874705000000006</v>
      </c>
      <c r="D33" s="121">
        <f t="shared" ref="D33:K33" si="0">D15*0.33*$E$21</f>
        <v>58.549491000000003</v>
      </c>
      <c r="E33" s="121">
        <f t="shared" si="0"/>
        <v>55.409310000000005</v>
      </c>
      <c r="F33" s="121">
        <f t="shared" si="0"/>
        <v>56.561670000000007</v>
      </c>
      <c r="G33" s="121">
        <f>G15*0.33*$E$21</f>
        <v>56.628891000000003</v>
      </c>
      <c r="H33" s="121">
        <f t="shared" si="0"/>
        <v>56.196756000000008</v>
      </c>
      <c r="I33" s="121">
        <f t="shared" si="0"/>
        <v>52.672455000000006</v>
      </c>
      <c r="J33" s="121">
        <f t="shared" si="0"/>
        <v>49.897188000000007</v>
      </c>
      <c r="K33" s="122">
        <f t="shared" si="0"/>
        <v>50.127660000000013</v>
      </c>
    </row>
    <row r="34" spans="1:11">
      <c r="B34" s="78" t="s">
        <v>37</v>
      </c>
      <c r="C34" s="121">
        <f>C15*0.33*$E$22</f>
        <v>269.12754000000001</v>
      </c>
      <c r="D34" s="121">
        <f t="shared" ref="D34:K34" si="1">D15*0.33*$E$22</f>
        <v>263.170908</v>
      </c>
      <c r="E34" s="121">
        <f t="shared" si="1"/>
        <v>249.05628000000002</v>
      </c>
      <c r="F34" s="121">
        <f t="shared" si="1"/>
        <v>254.23596000000001</v>
      </c>
      <c r="G34" s="121">
        <f t="shared" si="1"/>
        <v>254.53810800000002</v>
      </c>
      <c r="H34" s="121">
        <f t="shared" si="1"/>
        <v>252.59572800000004</v>
      </c>
      <c r="I34" s="121">
        <f t="shared" si="1"/>
        <v>236.75453999999999</v>
      </c>
      <c r="J34" s="121">
        <f t="shared" si="1"/>
        <v>224.28014400000004</v>
      </c>
      <c r="K34" s="122">
        <f t="shared" si="1"/>
        <v>225.31608000000003</v>
      </c>
    </row>
    <row r="35" spans="1:11">
      <c r="B35" s="78" t="s">
        <v>38</v>
      </c>
      <c r="C35" s="121">
        <f>C15*0.33*$E$23</f>
        <v>486.40482000000003</v>
      </c>
      <c r="D35" s="121">
        <f t="shared" ref="D35:K35" si="2">D15*0.33*$E$23</f>
        <v>475.63916400000005</v>
      </c>
      <c r="E35" s="121">
        <f t="shared" si="2"/>
        <v>450.12924000000004</v>
      </c>
      <c r="F35" s="121">
        <f t="shared" si="2"/>
        <v>459.49068000000005</v>
      </c>
      <c r="G35" s="121">
        <f t="shared" si="2"/>
        <v>460.03676400000001</v>
      </c>
      <c r="H35" s="121">
        <f t="shared" si="2"/>
        <v>456.52622400000007</v>
      </c>
      <c r="I35" s="121">
        <f t="shared" si="2"/>
        <v>427.89582000000001</v>
      </c>
      <c r="J35" s="121">
        <f t="shared" si="2"/>
        <v>405.35035200000004</v>
      </c>
      <c r="K35" s="122">
        <f t="shared" si="2"/>
        <v>407.22264000000007</v>
      </c>
    </row>
    <row r="36" spans="1:11">
      <c r="B36" s="78"/>
      <c r="C36" s="66"/>
      <c r="D36" s="66"/>
      <c r="E36" s="66"/>
      <c r="F36" s="66"/>
      <c r="G36" s="66"/>
      <c r="H36" s="66"/>
      <c r="I36" s="66"/>
      <c r="J36" s="66"/>
      <c r="K36" s="79"/>
    </row>
    <row r="37" spans="1:11">
      <c r="A37" s="37" t="s">
        <v>100</v>
      </c>
      <c r="B37" s="144" t="s">
        <v>46</v>
      </c>
      <c r="C37" s="121">
        <f>C16*$E$27</f>
        <v>377.90679999999998</v>
      </c>
      <c r="D37" s="121">
        <f t="shared" ref="D37:K37" si="3">D16*$E$27</f>
        <v>408.36259999999999</v>
      </c>
      <c r="E37" s="121">
        <f t="shared" si="3"/>
        <v>440.29339999999996</v>
      </c>
      <c r="F37" s="121">
        <f t="shared" si="3"/>
        <v>469.85239999999999</v>
      </c>
      <c r="G37" s="121">
        <f t="shared" si="3"/>
        <v>511.86039999999991</v>
      </c>
      <c r="H37" s="121">
        <f t="shared" si="3"/>
        <v>558.75360000000001</v>
      </c>
      <c r="I37" s="121">
        <f t="shared" si="3"/>
        <v>563.85119999999995</v>
      </c>
      <c r="J37" s="121">
        <f t="shared" si="3"/>
        <v>575.82819999999992</v>
      </c>
      <c r="K37" s="122">
        <f t="shared" si="3"/>
        <v>594.94419999999991</v>
      </c>
    </row>
    <row r="38" spans="1:11">
      <c r="B38" s="78"/>
      <c r="C38" s="66"/>
      <c r="D38" s="66"/>
      <c r="E38" s="66"/>
      <c r="F38" s="66"/>
      <c r="G38" s="66"/>
      <c r="H38" s="66"/>
      <c r="I38" s="66"/>
      <c r="J38" s="66"/>
      <c r="K38" s="79"/>
    </row>
    <row r="39" spans="1:11">
      <c r="B39" s="98" t="s">
        <v>52</v>
      </c>
      <c r="C39" s="66"/>
      <c r="D39" s="66"/>
      <c r="E39" s="66"/>
      <c r="F39" s="66"/>
      <c r="G39" s="66"/>
      <c r="H39" s="66"/>
      <c r="I39" s="66"/>
      <c r="J39" s="66"/>
      <c r="K39" s="79"/>
    </row>
    <row r="40" spans="1:11" ht="14.25" customHeight="1">
      <c r="B40" s="144" t="s">
        <v>53</v>
      </c>
      <c r="C40" s="66"/>
      <c r="D40" s="66"/>
      <c r="E40" s="66"/>
      <c r="F40" s="66"/>
      <c r="G40" s="66"/>
      <c r="H40" s="66"/>
      <c r="I40" s="66"/>
      <c r="J40" s="66"/>
      <c r="K40" s="79"/>
    </row>
    <row r="41" spans="1:11">
      <c r="B41" s="78" t="s">
        <v>51</v>
      </c>
      <c r="C41" s="121">
        <f>C15*0.33*$E$24</f>
        <v>20.163990000000002</v>
      </c>
      <c r="D41" s="121">
        <f t="shared" ref="D41:K41" si="4">D15*0.33*$E$24</f>
        <v>19.717697999999999</v>
      </c>
      <c r="E41" s="121">
        <f t="shared" si="4"/>
        <v>18.66018</v>
      </c>
      <c r="F41" s="121">
        <f t="shared" si="4"/>
        <v>19.048259999999999</v>
      </c>
      <c r="G41" s="121">
        <f t="shared" si="4"/>
        <v>19.070898</v>
      </c>
      <c r="H41" s="121">
        <f t="shared" si="4"/>
        <v>18.925368000000002</v>
      </c>
      <c r="I41" s="121">
        <f t="shared" si="4"/>
        <v>17.738489999999999</v>
      </c>
      <c r="J41" s="121">
        <f t="shared" si="4"/>
        <v>16.803864000000001</v>
      </c>
      <c r="K41" s="122">
        <f t="shared" si="4"/>
        <v>16.881480000000003</v>
      </c>
    </row>
    <row r="42" spans="1:11">
      <c r="B42" s="78" t="s">
        <v>37</v>
      </c>
      <c r="C42" s="121">
        <f>C15*0.33*$E$25</f>
        <v>44.237324999999998</v>
      </c>
      <c r="D42" s="121">
        <f t="shared" ref="D42:K42" si="5">D15*0.33*$E$25</f>
        <v>43.258215</v>
      </c>
      <c r="E42" s="121">
        <f t="shared" si="5"/>
        <v>40.93815</v>
      </c>
      <c r="F42" s="121">
        <f t="shared" si="5"/>
        <v>41.789549999999998</v>
      </c>
      <c r="G42" s="121">
        <f t="shared" si="5"/>
        <v>41.839215000000003</v>
      </c>
      <c r="H42" s="121">
        <f t="shared" si="5"/>
        <v>41.519940000000005</v>
      </c>
      <c r="I42" s="121">
        <f t="shared" si="5"/>
        <v>38.916074999999999</v>
      </c>
      <c r="J42" s="121">
        <f t="shared" si="5"/>
        <v>36.865620000000007</v>
      </c>
      <c r="K42" s="122">
        <f t="shared" si="5"/>
        <v>37.035900000000005</v>
      </c>
    </row>
    <row r="43" spans="1:11">
      <c r="B43" s="78" t="s">
        <v>38</v>
      </c>
      <c r="C43" s="121">
        <f>C15*0.33*$E$26</f>
        <v>64.19556</v>
      </c>
      <c r="D43" s="121">
        <f t="shared" ref="D43:K43" si="6">D15*0.33*$E$26</f>
        <v>62.774712000000008</v>
      </c>
      <c r="E43" s="121">
        <f t="shared" si="6"/>
        <v>59.407920000000004</v>
      </c>
      <c r="F43" s="121">
        <f t="shared" si="6"/>
        <v>60.643440000000005</v>
      </c>
      <c r="G43" s="121">
        <f t="shared" si="6"/>
        <v>60.715512000000004</v>
      </c>
      <c r="H43" s="121">
        <f t="shared" si="6"/>
        <v>60.252192000000008</v>
      </c>
      <c r="I43" s="121">
        <f t="shared" si="6"/>
        <v>56.473560000000006</v>
      </c>
      <c r="J43" s="121">
        <f t="shared" si="6"/>
        <v>53.498016000000007</v>
      </c>
      <c r="K43" s="122">
        <f t="shared" si="6"/>
        <v>53.745120000000007</v>
      </c>
    </row>
    <row r="44" spans="1:11">
      <c r="B44" s="78"/>
      <c r="C44" s="66"/>
      <c r="D44" s="66"/>
      <c r="E44" s="66"/>
      <c r="F44" s="66"/>
      <c r="G44" s="66"/>
      <c r="H44" s="66"/>
      <c r="I44" s="66"/>
      <c r="J44" s="66"/>
      <c r="K44" s="79"/>
    </row>
    <row r="45" spans="1:11" ht="16.5" thickBot="1">
      <c r="B45" s="145" t="s">
        <v>54</v>
      </c>
      <c r="C45" s="146">
        <f>C16*$E$28</f>
        <v>48.038999999999994</v>
      </c>
      <c r="D45" s="146">
        <f t="shared" ref="D45:K45" si="7">D16*$E$28</f>
        <v>51.910499999999999</v>
      </c>
      <c r="E45" s="146">
        <f t="shared" si="7"/>
        <v>55.969499999999996</v>
      </c>
      <c r="F45" s="146">
        <f t="shared" si="7"/>
        <v>59.726999999999997</v>
      </c>
      <c r="G45" s="146">
        <f t="shared" si="7"/>
        <v>65.066999999999993</v>
      </c>
      <c r="H45" s="146">
        <f t="shared" si="7"/>
        <v>71.027999999999992</v>
      </c>
      <c r="I45" s="146">
        <f t="shared" si="7"/>
        <v>71.675999999999988</v>
      </c>
      <c r="J45" s="146">
        <f t="shared" si="7"/>
        <v>73.198499999999996</v>
      </c>
      <c r="K45" s="147">
        <f t="shared" si="7"/>
        <v>75.628500000000003</v>
      </c>
    </row>
    <row r="46" spans="1:11" ht="16.5" thickBot="1">
      <c r="C46" s="102"/>
      <c r="D46" s="102"/>
      <c r="E46" s="102"/>
      <c r="F46" s="102"/>
      <c r="G46" s="102"/>
      <c r="H46" s="102"/>
      <c r="I46" s="102"/>
      <c r="J46" s="102"/>
      <c r="K46" s="102"/>
    </row>
    <row r="47" spans="1:11" ht="16.5" thickBot="1">
      <c r="B47" s="94" t="s">
        <v>57</v>
      </c>
      <c r="C47" s="95" t="s">
        <v>24</v>
      </c>
      <c r="D47" s="95" t="s">
        <v>25</v>
      </c>
      <c r="E47" s="95" t="s">
        <v>26</v>
      </c>
      <c r="F47" s="95" t="s">
        <v>0</v>
      </c>
      <c r="G47" s="95" t="s">
        <v>1</v>
      </c>
      <c r="H47" s="95" t="s">
        <v>2</v>
      </c>
      <c r="I47" s="95" t="s">
        <v>3</v>
      </c>
      <c r="J47" s="95" t="s">
        <v>4</v>
      </c>
      <c r="K47" s="96" t="s">
        <v>27</v>
      </c>
    </row>
    <row r="48" spans="1:11">
      <c r="B48" s="77" t="s">
        <v>35</v>
      </c>
      <c r="C48" s="119">
        <f>(SUM(C33:C35,C37)*0.6802)/1000</f>
        <v>0.8116920909730001</v>
      </c>
      <c r="D48" s="119">
        <f t="shared" ref="D48:K48" si="8">(SUM(D33:D35,D37)*0.6802)/1000</f>
        <v>0.82013221527259994</v>
      </c>
      <c r="E48" s="119">
        <f t="shared" si="8"/>
        <v>0.81276297404600006</v>
      </c>
      <c r="F48" s="119">
        <f t="shared" si="8"/>
        <v>0.84354371094200009</v>
      </c>
      <c r="G48" s="119">
        <f t="shared" si="8"/>
        <v>0.87274024367260006</v>
      </c>
      <c r="H48" s="119">
        <f t="shared" si="8"/>
        <v>0.90063398390160021</v>
      </c>
      <c r="I48" s="119">
        <f t="shared" si="8"/>
        <v>0.87145456500300011</v>
      </c>
      <c r="J48" s="119">
        <f t="shared" si="8"/>
        <v>0.8538930722968</v>
      </c>
      <c r="K48" s="120">
        <f t="shared" si="8"/>
        <v>0.86903071651600006</v>
      </c>
    </row>
    <row r="49" spans="1:18">
      <c r="B49" s="78" t="s">
        <v>55</v>
      </c>
      <c r="C49" s="121">
        <f>(SUM(C41:C43,C45)*0.6802)/1000</f>
        <v>0.120147722175</v>
      </c>
      <c r="D49" s="121">
        <f t="shared" ref="D49:K49" si="9">(SUM(D41:D43,D45)*0.6802)/1000</f>
        <v>0.12084509722500002</v>
      </c>
      <c r="E49" s="121">
        <f t="shared" si="9"/>
        <v>0.11901850515000001</v>
      </c>
      <c r="F49" s="121">
        <f t="shared" si="9"/>
        <v>0.12325785165</v>
      </c>
      <c r="G49" s="121">
        <f t="shared" si="9"/>
        <v>0.126988323525</v>
      </c>
      <c r="H49" s="121">
        <f t="shared" si="9"/>
        <v>0.13041168510000001</v>
      </c>
      <c r="I49" s="121">
        <f t="shared" si="9"/>
        <v>0.12570376582500001</v>
      </c>
      <c r="J49" s="121">
        <f t="shared" si="9"/>
        <v>0.12268495320000002</v>
      </c>
      <c r="K49" s="122">
        <f t="shared" si="9"/>
        <v>0.12467453820000003</v>
      </c>
    </row>
    <row r="50" spans="1:18">
      <c r="B50" s="78" t="s">
        <v>96</v>
      </c>
      <c r="C50" s="121">
        <f>C48+C49</f>
        <v>0.93183981314800013</v>
      </c>
      <c r="D50" s="121">
        <f t="shared" ref="D50:K50" si="10">D48+D49</f>
        <v>0.94097731249759997</v>
      </c>
      <c r="E50" s="121">
        <f t="shared" si="10"/>
        <v>0.93178147919600007</v>
      </c>
      <c r="F50" s="121">
        <f t="shared" si="10"/>
        <v>0.96680156259200012</v>
      </c>
      <c r="G50" s="121">
        <f t="shared" si="10"/>
        <v>0.99972856719760006</v>
      </c>
      <c r="H50" s="121">
        <f t="shared" si="10"/>
        <v>1.0310456690016001</v>
      </c>
      <c r="I50" s="121">
        <f t="shared" si="10"/>
        <v>0.99715833082800009</v>
      </c>
      <c r="J50" s="121">
        <f t="shared" si="10"/>
        <v>0.97657802549680006</v>
      </c>
      <c r="K50" s="122">
        <f t="shared" si="10"/>
        <v>0.99370525471600013</v>
      </c>
    </row>
    <row r="51" spans="1:18">
      <c r="B51" s="78"/>
      <c r="C51" s="66"/>
      <c r="D51" s="66"/>
      <c r="E51" s="66"/>
      <c r="F51" s="66"/>
      <c r="G51" s="66"/>
      <c r="H51" s="66"/>
      <c r="I51" s="66"/>
      <c r="J51" s="66"/>
      <c r="K51" s="79"/>
    </row>
    <row r="52" spans="1:18">
      <c r="B52" s="78" t="s">
        <v>59</v>
      </c>
      <c r="C52" s="80">
        <f>(SUM(C33:C35,C37,C41:C43,C45)*0.01428)</f>
        <v>19.562882287200004</v>
      </c>
      <c r="D52" s="80">
        <f t="shared" ref="D52:K52" si="11">(SUM(D33:D35,D37,D41:D43,D45)*0.01428)</f>
        <v>19.754713352639996</v>
      </c>
      <c r="E52" s="80">
        <f t="shared" si="11"/>
        <v>19.561657634399999</v>
      </c>
      <c r="F52" s="80">
        <f t="shared" si="11"/>
        <v>20.296863148800004</v>
      </c>
      <c r="G52" s="80">
        <f t="shared" si="11"/>
        <v>20.988126932639997</v>
      </c>
      <c r="H52" s="80">
        <f t="shared" si="11"/>
        <v>21.645592698239998</v>
      </c>
      <c r="I52" s="80">
        <f t="shared" si="11"/>
        <v>20.934167839199997</v>
      </c>
      <c r="J52" s="80">
        <f t="shared" si="11"/>
        <v>20.502108503519999</v>
      </c>
      <c r="K52" s="81">
        <f t="shared" si="11"/>
        <v>20.861674562400001</v>
      </c>
    </row>
    <row r="53" spans="1:18" ht="16.5" thickBot="1">
      <c r="B53" s="82" t="s">
        <v>60</v>
      </c>
      <c r="C53" s="83">
        <f>C50*21</f>
        <v>19.568636076108003</v>
      </c>
      <c r="D53" s="83">
        <f t="shared" ref="D53:K53" si="12">D50*21</f>
        <v>19.760523562449599</v>
      </c>
      <c r="E53" s="83">
        <f t="shared" si="12"/>
        <v>19.567411063116001</v>
      </c>
      <c r="F53" s="83">
        <f t="shared" si="12"/>
        <v>20.302832814432001</v>
      </c>
      <c r="G53" s="83">
        <f t="shared" si="12"/>
        <v>20.9942999111496</v>
      </c>
      <c r="H53" s="83">
        <f t="shared" si="12"/>
        <v>21.651959049033604</v>
      </c>
      <c r="I53" s="83">
        <f t="shared" si="12"/>
        <v>20.940324947388003</v>
      </c>
      <c r="J53" s="83">
        <f t="shared" si="12"/>
        <v>20.508138535432803</v>
      </c>
      <c r="K53" s="84">
        <f t="shared" si="12"/>
        <v>20.867810349036002</v>
      </c>
    </row>
    <row r="54" spans="1:18" ht="16.5" thickBot="1">
      <c r="A54" s="76"/>
      <c r="B54" s="76"/>
      <c r="C54" s="76"/>
      <c r="D54" s="76"/>
      <c r="E54" s="76"/>
      <c r="F54" s="76"/>
      <c r="G54" s="76"/>
      <c r="H54" s="76"/>
      <c r="I54" s="76"/>
      <c r="J54" s="76"/>
      <c r="K54" s="76"/>
    </row>
    <row r="55" spans="1:18" ht="16.5" thickBot="1">
      <c r="A55" s="63" t="s">
        <v>58</v>
      </c>
    </row>
    <row r="56" spans="1:18" ht="16.5" thickBot="1">
      <c r="B56" s="94" t="s">
        <v>86</v>
      </c>
      <c r="C56" s="95" t="s">
        <v>24</v>
      </c>
      <c r="D56" s="95" t="s">
        <v>25</v>
      </c>
      <c r="E56" s="95" t="s">
        <v>26</v>
      </c>
      <c r="F56" s="95" t="s">
        <v>0</v>
      </c>
      <c r="G56" s="95" t="s">
        <v>1</v>
      </c>
      <c r="H56" s="95" t="s">
        <v>2</v>
      </c>
      <c r="I56" s="95" t="s">
        <v>3</v>
      </c>
      <c r="J56" s="95" t="s">
        <v>4</v>
      </c>
      <c r="K56" s="96" t="s">
        <v>27</v>
      </c>
    </row>
    <row r="57" spans="1:18">
      <c r="B57" s="78" t="s">
        <v>73</v>
      </c>
      <c r="C57" s="130">
        <v>33981</v>
      </c>
      <c r="D57" s="130">
        <v>32190</v>
      </c>
      <c r="E57" s="130">
        <v>33988</v>
      </c>
      <c r="F57" s="130">
        <v>34118</v>
      </c>
      <c r="G57" s="130">
        <v>33508</v>
      </c>
      <c r="H57" s="130">
        <v>33689.599999999999</v>
      </c>
      <c r="I57" s="130">
        <v>37684</v>
      </c>
      <c r="J57" s="130">
        <v>38089.5</v>
      </c>
      <c r="K57" s="131">
        <v>37862</v>
      </c>
    </row>
    <row r="58" spans="1:18">
      <c r="B58" s="78" t="s">
        <v>84</v>
      </c>
      <c r="C58" s="132">
        <v>127.416</v>
      </c>
      <c r="D58" s="132">
        <v>130.10900000000001</v>
      </c>
      <c r="E58" s="132">
        <v>146.55099999999999</v>
      </c>
      <c r="F58" s="132">
        <v>156.10300000000001</v>
      </c>
      <c r="G58" s="132">
        <v>160.77199999999999</v>
      </c>
      <c r="H58" s="132">
        <v>192.768</v>
      </c>
      <c r="I58" s="132">
        <v>196.989</v>
      </c>
      <c r="J58" s="132">
        <v>204.12100000000001</v>
      </c>
      <c r="K58" s="133">
        <v>219.21199999999999</v>
      </c>
    </row>
    <row r="59" spans="1:18">
      <c r="C59" s="132">
        <v>427</v>
      </c>
      <c r="D59" s="132">
        <v>418</v>
      </c>
      <c r="E59" s="132">
        <v>415</v>
      </c>
      <c r="F59" s="132">
        <v>497</v>
      </c>
      <c r="G59" s="132">
        <v>505</v>
      </c>
      <c r="H59" s="132">
        <v>589</v>
      </c>
      <c r="I59" s="132">
        <v>617</v>
      </c>
      <c r="J59" s="132">
        <v>613</v>
      </c>
      <c r="K59" s="133">
        <v>578</v>
      </c>
    </row>
    <row r="60" spans="1:18">
      <c r="B60" s="78" t="s">
        <v>74</v>
      </c>
      <c r="C60" s="134">
        <v>31763</v>
      </c>
      <c r="D60" s="132">
        <v>32202</v>
      </c>
      <c r="E60" s="132">
        <v>31746.85</v>
      </c>
      <c r="F60" s="132">
        <v>32416.97</v>
      </c>
      <c r="G60" s="132">
        <v>32849.79</v>
      </c>
      <c r="H60" s="132">
        <v>47512</v>
      </c>
      <c r="I60" s="132">
        <v>52221.4</v>
      </c>
      <c r="J60" s="132">
        <v>47555.05</v>
      </c>
      <c r="K60" s="133">
        <v>40678.9</v>
      </c>
    </row>
    <row r="61" spans="1:18">
      <c r="B61" s="78" t="s">
        <v>88</v>
      </c>
      <c r="C61" s="132">
        <v>30775</v>
      </c>
      <c r="D61" s="132">
        <v>31325</v>
      </c>
      <c r="E61" s="132">
        <v>30791.439999999999</v>
      </c>
      <c r="F61" s="132">
        <v>31479</v>
      </c>
      <c r="G61" s="132">
        <v>31746</v>
      </c>
      <c r="H61" s="132">
        <v>46521</v>
      </c>
      <c r="I61" s="132">
        <v>51248</v>
      </c>
      <c r="J61" s="132">
        <v>46482</v>
      </c>
      <c r="K61" s="133">
        <v>39777</v>
      </c>
    </row>
    <row r="62" spans="1:18">
      <c r="B62" s="78" t="s">
        <v>89</v>
      </c>
      <c r="C62" s="132">
        <v>988</v>
      </c>
      <c r="D62" s="132">
        <v>877</v>
      </c>
      <c r="E62" s="132">
        <v>956</v>
      </c>
      <c r="F62" s="132">
        <v>938</v>
      </c>
      <c r="G62" s="132">
        <v>1098.8</v>
      </c>
      <c r="H62" s="132">
        <v>974.89</v>
      </c>
      <c r="I62" s="132">
        <v>967.74</v>
      </c>
      <c r="J62" s="132">
        <v>1077.2</v>
      </c>
      <c r="K62" s="133">
        <v>902.42</v>
      </c>
      <c r="M62" s="85"/>
      <c r="N62" s="85"/>
      <c r="O62" s="85"/>
      <c r="P62" s="85"/>
      <c r="Q62" s="85"/>
      <c r="R62" s="85"/>
    </row>
    <row r="63" spans="1:18">
      <c r="B63" s="78" t="s">
        <v>113</v>
      </c>
      <c r="C63" s="121">
        <f>C61*13%</f>
        <v>4000.75</v>
      </c>
      <c r="D63" s="121">
        <f>D61*13%</f>
        <v>4072.25</v>
      </c>
      <c r="E63" s="121">
        <f>E61*13%</f>
        <v>4002.8872000000001</v>
      </c>
      <c r="F63" s="132">
        <v>4499</v>
      </c>
      <c r="G63" s="132">
        <v>4680</v>
      </c>
      <c r="H63" s="132">
        <v>5660</v>
      </c>
      <c r="I63" s="132">
        <v>5210</v>
      </c>
      <c r="J63" s="132">
        <v>5313</v>
      </c>
      <c r="K63" s="133">
        <v>5429</v>
      </c>
      <c r="L63" s="104">
        <f t="shared" ref="L63:Q63" si="13">F63/F61</f>
        <v>0.14292067727691476</v>
      </c>
      <c r="M63" s="104">
        <f t="shared" si="13"/>
        <v>0.14742014742014742</v>
      </c>
      <c r="N63" s="104">
        <f t="shared" si="13"/>
        <v>0.12166548440489242</v>
      </c>
      <c r="O63" s="104">
        <f t="shared" si="13"/>
        <v>0.10166250390259132</v>
      </c>
      <c r="P63" s="104">
        <f t="shared" si="13"/>
        <v>0.11430231057183426</v>
      </c>
      <c r="Q63" s="104">
        <f t="shared" si="13"/>
        <v>0.13648590894235363</v>
      </c>
      <c r="R63" s="85"/>
    </row>
    <row r="64" spans="1:18">
      <c r="B64" s="78" t="s">
        <v>101</v>
      </c>
      <c r="C64" s="121">
        <f t="shared" ref="C64:K64" si="14">C61-C63</f>
        <v>26774.25</v>
      </c>
      <c r="D64" s="121">
        <f t="shared" si="14"/>
        <v>27252.75</v>
      </c>
      <c r="E64" s="121">
        <f t="shared" si="14"/>
        <v>26788.552799999998</v>
      </c>
      <c r="F64" s="121">
        <f t="shared" si="14"/>
        <v>26980</v>
      </c>
      <c r="G64" s="121">
        <f t="shared" si="14"/>
        <v>27066</v>
      </c>
      <c r="H64" s="121">
        <f t="shared" si="14"/>
        <v>40861</v>
      </c>
      <c r="I64" s="121">
        <f t="shared" si="14"/>
        <v>46038</v>
      </c>
      <c r="J64" s="121">
        <f t="shared" si="14"/>
        <v>41169</v>
      </c>
      <c r="K64" s="122">
        <f t="shared" si="14"/>
        <v>34348</v>
      </c>
    </row>
    <row r="65" spans="2:11">
      <c r="B65" s="135" t="s">
        <v>90</v>
      </c>
      <c r="C65" s="121">
        <f>C60*1.65%</f>
        <v>524.08950000000004</v>
      </c>
      <c r="D65" s="121">
        <f t="shared" ref="D65:K65" si="15">D60*1.65%</f>
        <v>531.33299999999997</v>
      </c>
      <c r="E65" s="121">
        <f t="shared" si="15"/>
        <v>523.82302500000003</v>
      </c>
      <c r="F65" s="121">
        <f t="shared" si="15"/>
        <v>534.8800050000001</v>
      </c>
      <c r="G65" s="121">
        <f t="shared" si="15"/>
        <v>542.02153500000009</v>
      </c>
      <c r="H65" s="121">
        <f t="shared" si="15"/>
        <v>783.94800000000009</v>
      </c>
      <c r="I65" s="121">
        <f t="shared" si="15"/>
        <v>861.65310000000011</v>
      </c>
      <c r="J65" s="121">
        <f t="shared" si="15"/>
        <v>784.6583250000001</v>
      </c>
      <c r="K65" s="122">
        <f t="shared" si="15"/>
        <v>671.20185000000004</v>
      </c>
    </row>
    <row r="66" spans="2:11">
      <c r="B66" s="136" t="s">
        <v>92</v>
      </c>
      <c r="C66" s="137">
        <f t="shared" ref="C66:K66" si="16">(C57*1.165)/1000</f>
        <v>39.587865000000001</v>
      </c>
      <c r="D66" s="137">
        <f t="shared" si="16"/>
        <v>37.501349999999995</v>
      </c>
      <c r="E66" s="137">
        <f t="shared" si="16"/>
        <v>39.596020000000003</v>
      </c>
      <c r="F66" s="137">
        <f t="shared" si="16"/>
        <v>39.74747</v>
      </c>
      <c r="G66" s="137">
        <f t="shared" si="16"/>
        <v>39.036819999999999</v>
      </c>
      <c r="H66" s="137">
        <f t="shared" si="16"/>
        <v>39.248384000000001</v>
      </c>
      <c r="I66" s="137">
        <f t="shared" si="16"/>
        <v>43.901859999999999</v>
      </c>
      <c r="J66" s="137">
        <f t="shared" si="16"/>
        <v>44.374267500000002</v>
      </c>
      <c r="K66" s="138">
        <f t="shared" si="16"/>
        <v>44.109230000000004</v>
      </c>
    </row>
    <row r="67" spans="2:11">
      <c r="B67" s="136" t="s">
        <v>91</v>
      </c>
      <c r="C67" s="137">
        <f t="shared" ref="C67:K67" si="17">C66/C57</f>
        <v>1.165E-3</v>
      </c>
      <c r="D67" s="137">
        <f t="shared" si="17"/>
        <v>1.1649999999999998E-3</v>
      </c>
      <c r="E67" s="137">
        <f t="shared" si="17"/>
        <v>1.165E-3</v>
      </c>
      <c r="F67" s="137">
        <f t="shared" si="17"/>
        <v>1.165E-3</v>
      </c>
      <c r="G67" s="137">
        <f t="shared" si="17"/>
        <v>1.165E-3</v>
      </c>
      <c r="H67" s="137">
        <f t="shared" si="17"/>
        <v>1.165E-3</v>
      </c>
      <c r="I67" s="137">
        <f t="shared" si="17"/>
        <v>1.165E-3</v>
      </c>
      <c r="J67" s="137">
        <f t="shared" si="17"/>
        <v>1.165E-3</v>
      </c>
      <c r="K67" s="138">
        <f t="shared" si="17"/>
        <v>1.165E-3</v>
      </c>
    </row>
    <row r="68" spans="2:11" ht="16.5" thickBot="1">
      <c r="B68" s="139" t="s">
        <v>83</v>
      </c>
      <c r="C68" s="140">
        <v>127368</v>
      </c>
      <c r="D68" s="140">
        <v>127368</v>
      </c>
      <c r="E68" s="140">
        <v>132468</v>
      </c>
      <c r="F68" s="140">
        <v>148968</v>
      </c>
      <c r="G68" s="140">
        <v>148968</v>
      </c>
      <c r="H68" s="140">
        <v>175956</v>
      </c>
      <c r="I68" s="140">
        <v>183.386</v>
      </c>
      <c r="J68" s="140">
        <v>187.386</v>
      </c>
      <c r="K68" s="141">
        <v>213006</v>
      </c>
    </row>
    <row r="69" spans="2:11" s="2" customFormat="1" ht="16.5" thickBot="1">
      <c r="B69" s="86"/>
    </row>
    <row r="70" spans="2:11">
      <c r="B70" s="123" t="s">
        <v>42</v>
      </c>
      <c r="C70" s="124"/>
      <c r="D70" s="125"/>
    </row>
    <row r="71" spans="2:11">
      <c r="B71" s="78" t="s">
        <v>61</v>
      </c>
      <c r="C71" s="126">
        <v>3.0000000000000001E-3</v>
      </c>
      <c r="D71" s="127" t="s">
        <v>62</v>
      </c>
    </row>
    <row r="72" spans="2:11">
      <c r="B72" s="78" t="s">
        <v>63</v>
      </c>
      <c r="C72" s="126">
        <v>3.3399999999999999E-4</v>
      </c>
      <c r="D72" s="127" t="s">
        <v>64</v>
      </c>
    </row>
    <row r="73" spans="2:11">
      <c r="B73" s="78" t="s">
        <v>65</v>
      </c>
      <c r="C73" s="126">
        <v>6.7590399999999997</v>
      </c>
      <c r="D73" s="127" t="s">
        <v>66</v>
      </c>
    </row>
    <row r="74" spans="2:11">
      <c r="B74" s="78" t="s">
        <v>67</v>
      </c>
      <c r="C74" s="126">
        <v>3.5560000000000001E-3</v>
      </c>
      <c r="D74" s="127" t="s">
        <v>68</v>
      </c>
    </row>
    <row r="75" spans="2:11">
      <c r="B75" s="78" t="s">
        <v>69</v>
      </c>
      <c r="C75" s="126">
        <v>1.0666999999999999E-2</v>
      </c>
      <c r="D75" s="127" t="s">
        <v>68</v>
      </c>
    </row>
    <row r="76" spans="2:11">
      <c r="B76" s="78" t="s">
        <v>70</v>
      </c>
      <c r="C76" s="126">
        <v>1.0666999999999999E-2</v>
      </c>
      <c r="D76" s="127" t="s">
        <v>68</v>
      </c>
    </row>
    <row r="77" spans="2:11">
      <c r="B77" s="78" t="s">
        <v>71</v>
      </c>
      <c r="C77" s="126">
        <v>6.4819999999999999E-3</v>
      </c>
      <c r="D77" s="127" t="s">
        <v>68</v>
      </c>
    </row>
    <row r="78" spans="2:11" ht="16.5" thickBot="1">
      <c r="B78" s="91" t="s">
        <v>72</v>
      </c>
      <c r="C78" s="128">
        <v>6.4099999999999997E-4</v>
      </c>
      <c r="D78" s="129" t="s">
        <v>68</v>
      </c>
    </row>
    <row r="80" spans="2:11" ht="16.5" thickBot="1"/>
    <row r="81" spans="1:11" ht="16.5" thickBot="1">
      <c r="B81" s="94" t="s">
        <v>95</v>
      </c>
      <c r="C81" s="95" t="s">
        <v>24</v>
      </c>
      <c r="D81" s="95" t="s">
        <v>25</v>
      </c>
      <c r="E81" s="95" t="s">
        <v>26</v>
      </c>
      <c r="F81" s="95" t="s">
        <v>0</v>
      </c>
      <c r="G81" s="95" t="s">
        <v>1</v>
      </c>
      <c r="H81" s="95" t="s">
        <v>2</v>
      </c>
      <c r="I81" s="95" t="s">
        <v>3</v>
      </c>
      <c r="J81" s="95" t="s">
        <v>4</v>
      </c>
      <c r="K81" s="96" t="s">
        <v>27</v>
      </c>
    </row>
    <row r="82" spans="1:11">
      <c r="B82" s="97" t="s">
        <v>93</v>
      </c>
      <c r="C82" s="87">
        <f>((C59*$C$71)+(C57*$C$72)+(C58*$C$73*10^-5))/1000</f>
        <v>1.2639266098406401E-2</v>
      </c>
      <c r="D82" s="87">
        <f t="shared" ref="D82:K82" si="18">((D59*$C$71)+(D57*$C$72)+(D58*$C$73*10^-5))/1000</f>
        <v>1.20142541193536E-2</v>
      </c>
      <c r="E82" s="87">
        <f t="shared" si="18"/>
        <v>1.2606897440710399E-2</v>
      </c>
      <c r="F82" s="87">
        <f t="shared" si="18"/>
        <v>1.28969630642112E-2</v>
      </c>
      <c r="G82" s="87">
        <f t="shared" si="18"/>
        <v>1.2717538643788799E-2</v>
      </c>
      <c r="H82" s="87">
        <f t="shared" si="18"/>
        <v>1.3032355666227199E-2</v>
      </c>
      <c r="I82" s="87">
        <f t="shared" si="18"/>
        <v>1.4450770565305603E-2</v>
      </c>
      <c r="J82" s="87">
        <f t="shared" si="18"/>
        <v>1.4574689620038401E-2</v>
      </c>
      <c r="K82" s="88">
        <f t="shared" si="18"/>
        <v>1.4394724626764801E-2</v>
      </c>
    </row>
    <row r="83" spans="1:11">
      <c r="B83" s="98" t="s">
        <v>94</v>
      </c>
      <c r="C83" s="89">
        <f>((C62*$C$78)+(C60*$C$74)+(C61*$C$75)+(C65*$C$77)+(C64*$C$76))/1000</f>
        <v>0.73085753388899999</v>
      </c>
      <c r="D83" s="89">
        <f t="shared" ref="D83:K83" si="19">((D62*$C$78)+(D60*$C$74)+(D61*$C$75)+(D65*$C$77)+(D64*$C$76))/1000</f>
        <v>0.74336542875599998</v>
      </c>
      <c r="E83" s="89">
        <f t="shared" si="19"/>
        <v>0.73110579864564984</v>
      </c>
      <c r="F83" s="89">
        <f t="shared" si="19"/>
        <v>0.74292524851241004</v>
      </c>
      <c r="G83" s="89">
        <f t="shared" si="19"/>
        <v>0.74837917162986989</v>
      </c>
      <c r="H83" s="89">
        <f t="shared" si="19"/>
        <v>1.106762921426</v>
      </c>
      <c r="I83" s="89">
        <f t="shared" si="19"/>
        <v>1.2296546171342</v>
      </c>
      <c r="J83" s="89">
        <f t="shared" si="19"/>
        <v>1.10985561526265</v>
      </c>
      <c r="K83" s="89">
        <f t="shared" si="19"/>
        <v>0.94027472501169995</v>
      </c>
    </row>
    <row r="84" spans="1:11">
      <c r="B84" s="78" t="s">
        <v>96</v>
      </c>
      <c r="C84" s="89">
        <f>C82+C83</f>
        <v>0.74349679998740636</v>
      </c>
      <c r="D84" s="89">
        <f t="shared" ref="D84:K84" si="20">D82+D83</f>
        <v>0.75537968287535362</v>
      </c>
      <c r="E84" s="89">
        <f t="shared" si="20"/>
        <v>0.74371269608636026</v>
      </c>
      <c r="F84" s="89">
        <f t="shared" si="20"/>
        <v>0.75582221157662122</v>
      </c>
      <c r="G84" s="89">
        <f t="shared" si="20"/>
        <v>0.76109671027365866</v>
      </c>
      <c r="H84" s="89">
        <f t="shared" si="20"/>
        <v>1.1197952770922273</v>
      </c>
      <c r="I84" s="89">
        <f t="shared" si="20"/>
        <v>1.2441053876995056</v>
      </c>
      <c r="J84" s="89">
        <f t="shared" si="20"/>
        <v>1.1244303048826885</v>
      </c>
      <c r="K84" s="90">
        <f t="shared" si="20"/>
        <v>0.95466944963846478</v>
      </c>
    </row>
    <row r="85" spans="1:11">
      <c r="B85" s="78"/>
      <c r="C85" s="66"/>
      <c r="D85" s="66"/>
      <c r="E85" s="66"/>
      <c r="F85" s="66"/>
      <c r="G85" s="66"/>
      <c r="H85" s="66"/>
      <c r="I85" s="66"/>
      <c r="J85" s="66"/>
      <c r="K85" s="79"/>
    </row>
    <row r="86" spans="1:11" ht="16.5" thickBot="1">
      <c r="A86" s="76"/>
      <c r="B86" s="91" t="s">
        <v>59</v>
      </c>
      <c r="C86" s="83">
        <f>C84*21</f>
        <v>15.613432799735534</v>
      </c>
      <c r="D86" s="83">
        <f t="shared" ref="D86:K86" si="21">D84*21</f>
        <v>15.862973340382426</v>
      </c>
      <c r="E86" s="83">
        <f t="shared" si="21"/>
        <v>15.617966617813565</v>
      </c>
      <c r="F86" s="83">
        <f t="shared" si="21"/>
        <v>15.872266443109046</v>
      </c>
      <c r="G86" s="83">
        <f t="shared" si="21"/>
        <v>15.983030915746832</v>
      </c>
      <c r="H86" s="83">
        <f t="shared" si="21"/>
        <v>23.515700818936772</v>
      </c>
      <c r="I86" s="83">
        <f t="shared" si="21"/>
        <v>26.126213141689618</v>
      </c>
      <c r="J86" s="83">
        <f t="shared" si="21"/>
        <v>23.613036402536459</v>
      </c>
      <c r="K86" s="84">
        <f t="shared" si="21"/>
        <v>20.048058442407761</v>
      </c>
    </row>
    <row r="88" spans="1:11" s="63" customFormat="1">
      <c r="A88" s="238" t="s">
        <v>97</v>
      </c>
      <c r="B88" s="238"/>
      <c r="C88" s="92">
        <f>C86+C53</f>
        <v>35.182068875843541</v>
      </c>
      <c r="D88" s="92">
        <f t="shared" ref="D88:K88" si="22">D86+D53</f>
        <v>35.623496902832024</v>
      </c>
      <c r="E88" s="92">
        <f t="shared" si="22"/>
        <v>35.185377680929562</v>
      </c>
      <c r="F88" s="92">
        <f t="shared" si="22"/>
        <v>36.175099257541049</v>
      </c>
      <c r="G88" s="92">
        <f t="shared" si="22"/>
        <v>36.977330826896434</v>
      </c>
      <c r="H88" s="92">
        <f t="shared" si="22"/>
        <v>45.167659867970372</v>
      </c>
      <c r="I88" s="92">
        <f t="shared" si="22"/>
        <v>47.066538089077625</v>
      </c>
      <c r="J88" s="92">
        <f t="shared" si="22"/>
        <v>44.121174937969258</v>
      </c>
      <c r="K88" s="92">
        <f t="shared" si="22"/>
        <v>40.915868791443764</v>
      </c>
    </row>
  </sheetData>
  <mergeCells count="5">
    <mergeCell ref="C21:C23"/>
    <mergeCell ref="C24:C26"/>
    <mergeCell ref="B21:B26"/>
    <mergeCell ref="B27:B28"/>
    <mergeCell ref="A88:B88"/>
  </mergeCells>
  <pageMargins left="0.7" right="0.7" top="0.75" bottom="0.75" header="0.3" footer="0.3"/>
  <pageSetup paperSize="9" orientation="landscape" verticalDpi="0"/>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X49"/>
  <sheetViews>
    <sheetView topLeftCell="A25" zoomScale="70" zoomScaleNormal="70" workbookViewId="0">
      <selection activeCell="G58" sqref="G58"/>
    </sheetView>
  </sheetViews>
  <sheetFormatPr defaultColWidth="8.85546875" defaultRowHeight="15.75"/>
  <cols>
    <col min="1" max="1" width="8.85546875" style="2"/>
    <col min="2" max="3" width="9.28515625" style="2" bestFit="1" customWidth="1"/>
    <col min="4" max="4" width="12.140625" style="2" customWidth="1"/>
    <col min="5" max="5" width="10.85546875" style="2" customWidth="1"/>
    <col min="6" max="6" width="12.140625" style="2" customWidth="1"/>
    <col min="7" max="7" width="14.28515625" style="2" customWidth="1"/>
    <col min="8" max="8" width="7.42578125" style="2" customWidth="1"/>
    <col min="9" max="15" width="8.85546875" style="2"/>
    <col min="16" max="16" width="10.42578125" style="2" customWidth="1"/>
    <col min="17" max="17" width="11.28515625" style="2" customWidth="1"/>
    <col min="18" max="20" width="8.85546875" style="2"/>
    <col min="21" max="21" width="11" style="2" customWidth="1"/>
    <col min="22" max="22" width="11.42578125" style="2" customWidth="1"/>
    <col min="23" max="23" width="10.7109375" style="2" customWidth="1"/>
    <col min="24" max="16384" width="8.85546875" style="2"/>
  </cols>
  <sheetData>
    <row r="3" spans="1:23">
      <c r="A3" s="2" t="s">
        <v>31</v>
      </c>
    </row>
    <row r="5" spans="1:23">
      <c r="A5" s="3"/>
      <c r="B5" s="4"/>
      <c r="C5" s="244" t="s">
        <v>10</v>
      </c>
      <c r="D5" s="244"/>
      <c r="E5" s="244"/>
      <c r="F5" s="244"/>
      <c r="G5" s="244"/>
      <c r="H5" s="245"/>
      <c r="J5" s="2" t="s">
        <v>165</v>
      </c>
    </row>
    <row r="6" spans="1:23">
      <c r="A6" s="3"/>
      <c r="B6" s="5"/>
      <c r="C6" s="6"/>
      <c r="D6" s="6"/>
      <c r="E6" s="6"/>
      <c r="F6" s="5"/>
      <c r="G6" s="5"/>
      <c r="H6" s="7"/>
      <c r="J6" s="36"/>
      <c r="K6" s="35"/>
      <c r="L6" s="35"/>
      <c r="M6" s="35"/>
      <c r="N6" s="35"/>
      <c r="O6" s="35"/>
      <c r="P6" s="35"/>
      <c r="Q6" s="35"/>
      <c r="R6" s="35"/>
      <c r="S6" s="35"/>
      <c r="T6" s="35"/>
      <c r="U6" s="35"/>
      <c r="V6" s="36" t="s">
        <v>166</v>
      </c>
      <c r="W6" s="36"/>
    </row>
    <row r="7" spans="1:23">
      <c r="A7" s="3"/>
      <c r="B7" s="5"/>
      <c r="C7" s="251" t="s">
        <v>11</v>
      </c>
      <c r="D7" s="251"/>
      <c r="E7" s="251"/>
      <c r="F7" s="251"/>
      <c r="G7" s="251"/>
      <c r="H7" s="252"/>
      <c r="J7" s="110"/>
      <c r="K7" s="239" t="s">
        <v>157</v>
      </c>
      <c r="L7" s="239"/>
      <c r="M7" s="239"/>
      <c r="N7" s="239"/>
      <c r="O7" s="239"/>
      <c r="P7" s="239" t="s">
        <v>158</v>
      </c>
      <c r="Q7" s="239"/>
      <c r="R7" s="239"/>
      <c r="S7" s="239"/>
      <c r="T7" s="239"/>
      <c r="U7" s="239" t="s">
        <v>159</v>
      </c>
      <c r="V7" s="239"/>
    </row>
    <row r="8" spans="1:23" ht="30" customHeight="1">
      <c r="A8" s="3"/>
      <c r="B8" s="242" t="s">
        <v>12</v>
      </c>
      <c r="C8" s="246" t="s">
        <v>13</v>
      </c>
      <c r="D8" s="247"/>
      <c r="E8" s="247"/>
      <c r="F8" s="248" t="s">
        <v>14</v>
      </c>
      <c r="G8" s="249"/>
      <c r="H8" s="250"/>
      <c r="J8" s="111" t="s">
        <v>160</v>
      </c>
      <c r="K8" s="240" t="s">
        <v>161</v>
      </c>
      <c r="L8" s="240"/>
      <c r="M8" s="240"/>
      <c r="N8" s="241" t="s">
        <v>167</v>
      </c>
      <c r="O8" s="241" t="s">
        <v>169</v>
      </c>
      <c r="P8" s="240" t="s">
        <v>161</v>
      </c>
      <c r="Q8" s="240"/>
      <c r="R8" s="240"/>
      <c r="S8" s="241" t="s">
        <v>170</v>
      </c>
      <c r="T8" s="241" t="s">
        <v>171</v>
      </c>
      <c r="U8" s="241" t="s">
        <v>161</v>
      </c>
      <c r="V8" s="241" t="s">
        <v>168</v>
      </c>
    </row>
    <row r="9" spans="1:23">
      <c r="A9" s="3"/>
      <c r="B9" s="243"/>
      <c r="C9" s="8" t="s">
        <v>15</v>
      </c>
      <c r="D9" s="8" t="s">
        <v>16</v>
      </c>
      <c r="E9" s="8" t="s">
        <v>17</v>
      </c>
      <c r="F9" s="9" t="s">
        <v>18</v>
      </c>
      <c r="G9" s="9" t="s">
        <v>19</v>
      </c>
      <c r="H9" s="10" t="s">
        <v>17</v>
      </c>
      <c r="J9" s="111"/>
      <c r="K9" s="113" t="s">
        <v>162</v>
      </c>
      <c r="L9" s="113" t="s">
        <v>163</v>
      </c>
      <c r="M9" s="113" t="s">
        <v>164</v>
      </c>
      <c r="N9" s="241"/>
      <c r="O9" s="241"/>
      <c r="P9" s="38" t="s">
        <v>162</v>
      </c>
      <c r="Q9" s="38" t="s">
        <v>163</v>
      </c>
      <c r="R9" s="38" t="s">
        <v>164</v>
      </c>
      <c r="S9" s="241"/>
      <c r="T9" s="241"/>
      <c r="U9" s="241"/>
      <c r="V9" s="241"/>
    </row>
    <row r="10" spans="1:23">
      <c r="A10" s="3"/>
      <c r="B10" s="11">
        <v>1</v>
      </c>
      <c r="C10" s="11">
        <v>2</v>
      </c>
      <c r="D10" s="11">
        <v>3</v>
      </c>
      <c r="E10" s="11">
        <v>4</v>
      </c>
      <c r="F10" s="12">
        <v>5</v>
      </c>
      <c r="G10" s="12">
        <v>6</v>
      </c>
      <c r="H10" s="13">
        <v>7</v>
      </c>
      <c r="J10" s="114">
        <v>1</v>
      </c>
      <c r="K10" s="114">
        <v>2</v>
      </c>
      <c r="L10" s="114">
        <v>3</v>
      </c>
      <c r="M10" s="114">
        <v>4</v>
      </c>
      <c r="N10" s="114">
        <v>5</v>
      </c>
      <c r="O10" s="114">
        <v>6</v>
      </c>
      <c r="P10" s="114">
        <v>7</v>
      </c>
      <c r="Q10" s="114">
        <v>8</v>
      </c>
      <c r="R10" s="114">
        <v>9</v>
      </c>
      <c r="S10" s="114">
        <v>10</v>
      </c>
      <c r="T10" s="114">
        <v>11</v>
      </c>
      <c r="U10" s="114">
        <v>12</v>
      </c>
      <c r="V10" s="114">
        <v>13</v>
      </c>
    </row>
    <row r="11" spans="1:23">
      <c r="A11" s="3"/>
      <c r="B11" s="14" t="s">
        <v>20</v>
      </c>
      <c r="C11" s="15">
        <v>30.9</v>
      </c>
      <c r="D11" s="15">
        <v>282.8</v>
      </c>
      <c r="E11" s="15">
        <v>313.7</v>
      </c>
      <c r="F11" s="15">
        <v>13.38</v>
      </c>
      <c r="G11" s="15">
        <v>8.6419999999999995</v>
      </c>
      <c r="H11" s="16">
        <v>22.02</v>
      </c>
      <c r="J11" s="113" t="s">
        <v>24</v>
      </c>
      <c r="K11" s="44">
        <v>276.53399999999999</v>
      </c>
      <c r="L11" s="113">
        <v>22.329000000000001</v>
      </c>
      <c r="M11" s="113">
        <v>320.26600000000002</v>
      </c>
      <c r="N11" s="113">
        <v>83.7</v>
      </c>
      <c r="O11" s="113">
        <v>7.29</v>
      </c>
      <c r="P11" s="113">
        <v>47.040999999999997</v>
      </c>
      <c r="Q11" s="113">
        <v>12.974</v>
      </c>
      <c r="R11" s="113">
        <v>62.348999999999997</v>
      </c>
      <c r="S11" s="113">
        <v>16.3</v>
      </c>
      <c r="T11" s="113">
        <v>-0.64</v>
      </c>
      <c r="U11" s="113">
        <v>382.61500000000001</v>
      </c>
      <c r="V11" s="113">
        <v>5.92</v>
      </c>
    </row>
    <row r="12" spans="1:23">
      <c r="A12" s="3"/>
      <c r="B12" s="14" t="s">
        <v>21</v>
      </c>
      <c r="C12" s="15">
        <v>28.67</v>
      </c>
      <c r="D12" s="15">
        <v>299.12</v>
      </c>
      <c r="E12" s="15">
        <v>327.79</v>
      </c>
      <c r="F12" s="15">
        <v>11.73</v>
      </c>
      <c r="G12" s="15">
        <v>8.01</v>
      </c>
      <c r="H12" s="16">
        <v>19.740000000000002</v>
      </c>
      <c r="J12" s="113" t="s">
        <v>25</v>
      </c>
      <c r="K12" s="113">
        <v>297.572</v>
      </c>
      <c r="L12" s="113">
        <v>23.427</v>
      </c>
      <c r="M12" s="113">
        <v>346.07400000000001</v>
      </c>
      <c r="N12" s="113">
        <v>85.02</v>
      </c>
      <c r="O12" s="113">
        <v>8.06</v>
      </c>
      <c r="P12" s="113">
        <v>45.817</v>
      </c>
      <c r="Q12" s="113">
        <v>12.711</v>
      </c>
      <c r="R12" s="113">
        <v>60.965000000000003</v>
      </c>
      <c r="S12" s="113">
        <v>14.98</v>
      </c>
      <c r="T12" s="113">
        <v>-2.2200000000000002</v>
      </c>
      <c r="U12" s="113">
        <v>407.03899999999999</v>
      </c>
      <c r="V12" s="113">
        <v>6.38</v>
      </c>
    </row>
    <row r="13" spans="1:23">
      <c r="A13" s="3"/>
      <c r="B13" s="14" t="s">
        <v>22</v>
      </c>
      <c r="C13" s="15">
        <v>30.2</v>
      </c>
      <c r="D13" s="15">
        <v>311.08</v>
      </c>
      <c r="E13" s="15">
        <v>341.28</v>
      </c>
      <c r="F13" s="15">
        <v>13.92</v>
      </c>
      <c r="G13" s="15">
        <v>8.1999999999999993</v>
      </c>
      <c r="H13" s="16">
        <v>22.119999999999997</v>
      </c>
      <c r="J13" s="113" t="s">
        <v>26</v>
      </c>
      <c r="K13" s="113">
        <v>317.59100000000001</v>
      </c>
      <c r="L13" s="113">
        <v>25.831</v>
      </c>
      <c r="M13" s="113">
        <v>373.13400000000001</v>
      </c>
      <c r="N13" s="113">
        <v>86.61</v>
      </c>
      <c r="O13" s="113">
        <v>7.82</v>
      </c>
      <c r="P13" s="113">
        <v>43.322000000000003</v>
      </c>
      <c r="Q13" s="113">
        <v>11.875999999999999</v>
      </c>
      <c r="R13" s="113">
        <v>57.698</v>
      </c>
      <c r="S13" s="113">
        <v>13.39</v>
      </c>
      <c r="T13" s="113">
        <v>-5.36</v>
      </c>
      <c r="U13" s="113">
        <v>430.83199999999999</v>
      </c>
      <c r="V13" s="113">
        <v>5.85</v>
      </c>
    </row>
    <row r="14" spans="1:23">
      <c r="A14" s="3"/>
      <c r="B14" s="14" t="s">
        <v>23</v>
      </c>
      <c r="C14" s="15">
        <v>29.4</v>
      </c>
      <c r="D14" s="15">
        <v>331.85</v>
      </c>
      <c r="E14" s="15">
        <v>361.25</v>
      </c>
      <c r="F14" s="15">
        <v>13.12</v>
      </c>
      <c r="G14" s="15">
        <v>8.1999999999999993</v>
      </c>
      <c r="H14" s="16">
        <v>21.32</v>
      </c>
      <c r="J14" s="113" t="s">
        <v>0</v>
      </c>
      <c r="K14" s="113">
        <v>335.91800000000001</v>
      </c>
      <c r="L14" s="113">
        <v>27.959</v>
      </c>
      <c r="M14" s="113">
        <v>398.18200000000002</v>
      </c>
      <c r="N14" s="113">
        <v>87.11</v>
      </c>
      <c r="O14" s="113">
        <v>6.71</v>
      </c>
      <c r="P14" s="113">
        <v>43.540999999999997</v>
      </c>
      <c r="Q14" s="113">
        <v>12.645</v>
      </c>
      <c r="R14" s="113">
        <v>58.9</v>
      </c>
      <c r="S14" s="113">
        <v>12.89</v>
      </c>
      <c r="T14" s="113">
        <v>2.08</v>
      </c>
      <c r="U14" s="113">
        <v>457.08199999999999</v>
      </c>
      <c r="V14" s="113">
        <v>6.09</v>
      </c>
    </row>
    <row r="15" spans="1:23">
      <c r="A15" s="3"/>
      <c r="B15" s="14" t="s">
        <v>24</v>
      </c>
      <c r="C15" s="15">
        <v>30.22</v>
      </c>
      <c r="D15" s="15">
        <v>352.39</v>
      </c>
      <c r="E15" s="15">
        <v>382.61</v>
      </c>
      <c r="F15" s="15">
        <v>12.67</v>
      </c>
      <c r="G15" s="15">
        <v>8.7899999999999991</v>
      </c>
      <c r="H15" s="16">
        <v>21.46</v>
      </c>
      <c r="J15" s="113" t="s">
        <v>1</v>
      </c>
      <c r="K15" s="113">
        <v>359.77100000000002</v>
      </c>
      <c r="L15" s="113">
        <v>32.459000000000003</v>
      </c>
      <c r="M15" s="113">
        <v>433.78500000000003</v>
      </c>
      <c r="N15" s="113">
        <v>88.03</v>
      </c>
      <c r="O15" s="113">
        <v>8.94</v>
      </c>
      <c r="P15" s="113">
        <v>43.959000000000003</v>
      </c>
      <c r="Q15" s="113">
        <v>12.087</v>
      </c>
      <c r="R15" s="113">
        <v>58.972000000000001</v>
      </c>
      <c r="S15" s="113">
        <v>11.97</v>
      </c>
      <c r="T15" s="113">
        <v>0.12</v>
      </c>
      <c r="U15" s="113">
        <v>492.75700000000001</v>
      </c>
      <c r="V15" s="113">
        <v>7.8</v>
      </c>
    </row>
    <row r="16" spans="1:23">
      <c r="A16" s="3"/>
      <c r="B16" s="14" t="s">
        <v>25</v>
      </c>
      <c r="C16" s="17">
        <v>31.510999999999999</v>
      </c>
      <c r="D16" s="15">
        <v>375.53</v>
      </c>
      <c r="E16" s="15">
        <v>407.041</v>
      </c>
      <c r="F16" s="17">
        <v>13.35</v>
      </c>
      <c r="G16" s="17">
        <v>8.3780000000000001</v>
      </c>
      <c r="H16" s="18">
        <v>21.72</v>
      </c>
      <c r="J16" s="113" t="s">
        <v>2</v>
      </c>
      <c r="K16" s="113">
        <v>387.99700000000001</v>
      </c>
      <c r="L16" s="113">
        <v>38.46</v>
      </c>
      <c r="M16" s="113">
        <v>473.51900000000001</v>
      </c>
      <c r="N16" s="113">
        <v>89</v>
      </c>
      <c r="O16" s="113">
        <v>9.16</v>
      </c>
      <c r="P16" s="113">
        <v>43.262</v>
      </c>
      <c r="Q16" s="113">
        <v>11.968999999999999</v>
      </c>
      <c r="R16" s="113">
        <v>58.523000000000003</v>
      </c>
      <c r="S16" s="113">
        <v>11</v>
      </c>
      <c r="T16" s="113">
        <v>-0.76</v>
      </c>
      <c r="U16" s="113">
        <v>532.04200000000003</v>
      </c>
      <c r="V16" s="113">
        <v>7.97</v>
      </c>
    </row>
    <row r="17" spans="1:24">
      <c r="A17" s="3"/>
      <c r="B17" s="14" t="s">
        <v>26</v>
      </c>
      <c r="C17" s="17">
        <v>32.097000000000001</v>
      </c>
      <c r="D17" s="15">
        <v>398.74</v>
      </c>
      <c r="E17" s="15">
        <v>430.83699999999999</v>
      </c>
      <c r="F17" s="17">
        <v>12.566000000000001</v>
      </c>
      <c r="G17" s="17">
        <v>7.0250000000000004</v>
      </c>
      <c r="H17" s="18">
        <v>19.591000000000001</v>
      </c>
      <c r="J17" s="113" t="s">
        <v>3</v>
      </c>
      <c r="K17" s="113">
        <v>391.303</v>
      </c>
      <c r="L17" s="113">
        <v>39.704999999999998</v>
      </c>
      <c r="M17" s="113">
        <v>477.839</v>
      </c>
      <c r="N17" s="113">
        <v>89.7</v>
      </c>
      <c r="O17" s="113">
        <v>0.91</v>
      </c>
      <c r="P17" s="113">
        <v>40.018000000000001</v>
      </c>
      <c r="Q17" s="113">
        <v>11.628</v>
      </c>
      <c r="R17" s="113">
        <v>54.854999999999997</v>
      </c>
      <c r="S17" s="113">
        <v>10.3</v>
      </c>
      <c r="T17" s="113">
        <v>-6.27</v>
      </c>
      <c r="U17" s="113">
        <v>532.69399999999996</v>
      </c>
      <c r="V17" s="113">
        <v>0.12</v>
      </c>
    </row>
    <row r="18" spans="1:24">
      <c r="A18" s="3"/>
      <c r="B18" s="14" t="s">
        <v>0</v>
      </c>
      <c r="C18" s="17">
        <v>34.454999999999998</v>
      </c>
      <c r="D18" s="15">
        <v>422.62700000000001</v>
      </c>
      <c r="E18" s="15">
        <v>457.08199999999999</v>
      </c>
      <c r="F18" s="17">
        <v>12.542</v>
      </c>
      <c r="G18" s="17">
        <v>7.1710000000000003</v>
      </c>
      <c r="H18" s="18">
        <v>19.713000000000001</v>
      </c>
      <c r="J18" s="44" t="s">
        <v>4</v>
      </c>
      <c r="K18" s="113">
        <v>397.44499999999999</v>
      </c>
      <c r="L18" s="115">
        <v>41.573</v>
      </c>
      <c r="M18" s="113">
        <v>487.99299999999999</v>
      </c>
      <c r="N18" s="115">
        <v>90.38</v>
      </c>
      <c r="O18" s="113">
        <v>2.12</v>
      </c>
      <c r="P18" s="115">
        <v>38.393000000000001</v>
      </c>
      <c r="Q18" s="113">
        <v>10.648</v>
      </c>
      <c r="R18" s="115">
        <v>51.957000000000001</v>
      </c>
      <c r="S18" s="113">
        <v>9.6199999999999992</v>
      </c>
      <c r="T18" s="115">
        <v>-5.28</v>
      </c>
      <c r="U18" s="113">
        <v>539.95000000000005</v>
      </c>
      <c r="V18" s="115">
        <v>1.36</v>
      </c>
    </row>
    <row r="19" spans="1:24">
      <c r="A19" s="3"/>
      <c r="B19" s="14" t="s">
        <v>1</v>
      </c>
      <c r="C19" s="17">
        <v>33.81</v>
      </c>
      <c r="D19" s="15">
        <v>457.94799999999998</v>
      </c>
      <c r="E19" s="15">
        <v>491.75799999999998</v>
      </c>
      <c r="F19" s="17">
        <v>12.62</v>
      </c>
      <c r="G19" s="17">
        <v>7.181</v>
      </c>
      <c r="H19" s="18">
        <v>19.8</v>
      </c>
      <c r="J19" s="44" t="s">
        <v>27</v>
      </c>
      <c r="K19" s="113">
        <v>414.423</v>
      </c>
      <c r="L19" s="115">
        <v>41.593000000000004</v>
      </c>
      <c r="M19" s="113">
        <v>504.19499999999999</v>
      </c>
      <c r="N19" s="115">
        <v>90.62</v>
      </c>
      <c r="O19" s="113">
        <v>3.32</v>
      </c>
      <c r="P19" s="115">
        <v>37.777000000000001</v>
      </c>
      <c r="Q19" s="113">
        <v>11.597</v>
      </c>
      <c r="R19" s="115">
        <v>52.207000000000001</v>
      </c>
      <c r="S19" s="113">
        <v>9.3800000000000008</v>
      </c>
      <c r="T19" s="115">
        <v>0.48</v>
      </c>
      <c r="U19" s="113">
        <v>556.40200000000004</v>
      </c>
      <c r="V19" s="115">
        <v>3.05</v>
      </c>
    </row>
    <row r="20" spans="1:24">
      <c r="A20" s="3"/>
      <c r="B20" s="14" t="s">
        <v>2</v>
      </c>
      <c r="C20" s="17">
        <v>44.41</v>
      </c>
      <c r="D20" s="15">
        <v>487.63</v>
      </c>
      <c r="E20" s="15">
        <v>532.04</v>
      </c>
      <c r="F20" s="17">
        <v>12.66</v>
      </c>
      <c r="G20" s="17">
        <v>6.55</v>
      </c>
      <c r="H20" s="18">
        <v>19.21</v>
      </c>
    </row>
    <row r="21" spans="1:24">
      <c r="A21" s="3"/>
      <c r="B21" s="14" t="s">
        <v>3</v>
      </c>
      <c r="C21" s="17">
        <v>49.55</v>
      </c>
      <c r="D21" s="15">
        <v>483.15</v>
      </c>
      <c r="E21" s="15">
        <v>532.69000000000005</v>
      </c>
      <c r="F21" s="17">
        <v>10.84</v>
      </c>
      <c r="G21" s="17">
        <v>6.96</v>
      </c>
      <c r="H21" s="18">
        <v>17.79</v>
      </c>
    </row>
    <row r="22" spans="1:24">
      <c r="A22" s="3"/>
      <c r="B22" s="14" t="s">
        <v>4</v>
      </c>
      <c r="C22" s="17">
        <v>51.65</v>
      </c>
      <c r="D22" s="15">
        <v>488.29</v>
      </c>
      <c r="E22" s="15">
        <v>539.94000000000005</v>
      </c>
      <c r="F22" s="17">
        <v>9.9700000000000006</v>
      </c>
      <c r="G22" s="17">
        <v>6.5</v>
      </c>
      <c r="H22" s="18">
        <v>16.46</v>
      </c>
    </row>
    <row r="23" spans="1:24">
      <c r="A23" s="3"/>
      <c r="B23" s="14" t="s">
        <v>27</v>
      </c>
      <c r="C23" s="17">
        <v>51.58</v>
      </c>
      <c r="D23" s="15">
        <v>504.82</v>
      </c>
      <c r="E23" s="15">
        <v>556.4</v>
      </c>
      <c r="F23" s="17"/>
      <c r="G23" s="17"/>
      <c r="H23" s="19"/>
    </row>
    <row r="24" spans="1:24">
      <c r="A24" s="3"/>
      <c r="B24" s="8" t="s">
        <v>28</v>
      </c>
      <c r="C24" s="20">
        <v>56.82</v>
      </c>
      <c r="D24" s="21">
        <v>508.95</v>
      </c>
      <c r="E24" s="21">
        <v>565.77</v>
      </c>
      <c r="F24" s="20"/>
      <c r="G24" s="20"/>
      <c r="H24" s="22"/>
    </row>
    <row r="25" spans="1:24">
      <c r="A25" s="3"/>
      <c r="B25" s="23" t="s">
        <v>29</v>
      </c>
      <c r="C25" s="23"/>
      <c r="D25" s="23"/>
      <c r="E25" s="23"/>
      <c r="F25" s="23"/>
      <c r="G25" s="23"/>
      <c r="H25" s="24"/>
    </row>
    <row r="26" spans="1:24">
      <c r="B26" s="25"/>
      <c r="C26" s="26" t="s">
        <v>30</v>
      </c>
      <c r="D26" s="26"/>
      <c r="E26" s="26"/>
      <c r="F26" s="26"/>
      <c r="G26" s="26"/>
      <c r="H26" s="27"/>
    </row>
    <row r="27" spans="1:24">
      <c r="B27" s="28"/>
      <c r="C27" s="6"/>
      <c r="D27" s="6"/>
      <c r="E27" s="6"/>
      <c r="F27" s="6"/>
      <c r="G27" s="6"/>
      <c r="H27" s="29"/>
    </row>
    <row r="28" spans="1:24">
      <c r="B28" s="30"/>
      <c r="C28" s="6"/>
      <c r="D28" s="6"/>
      <c r="E28" s="6"/>
      <c r="F28" s="6"/>
      <c r="G28" s="6"/>
      <c r="H28" s="29"/>
    </row>
    <row r="29" spans="1:24">
      <c r="B29" s="31"/>
      <c r="C29" s="32"/>
      <c r="D29" s="32"/>
      <c r="E29" s="32"/>
      <c r="F29" s="33"/>
      <c r="G29" s="33"/>
      <c r="H29" s="34"/>
    </row>
    <row r="30" spans="1:24">
      <c r="L30" s="66"/>
      <c r="M30" s="195"/>
      <c r="N30" s="196"/>
      <c r="O30" s="195"/>
      <c r="P30" s="196"/>
      <c r="Q30" s="195"/>
      <c r="R30" s="196"/>
      <c r="S30" s="195"/>
      <c r="T30" s="196"/>
      <c r="U30" s="195"/>
      <c r="V30" s="196"/>
      <c r="W30" s="195"/>
      <c r="X30" s="196"/>
    </row>
    <row r="31" spans="1:24">
      <c r="B31" s="2" t="s">
        <v>165</v>
      </c>
      <c r="O31" s="195"/>
      <c r="P31" s="196"/>
      <c r="Q31" s="195"/>
      <c r="R31" s="196"/>
      <c r="S31" s="195"/>
      <c r="T31" s="196"/>
      <c r="U31" s="195"/>
      <c r="V31" s="196"/>
      <c r="W31" s="195"/>
      <c r="X31" s="196"/>
    </row>
    <row r="32" spans="1:24">
      <c r="B32" s="36"/>
      <c r="C32" s="35"/>
      <c r="D32" s="35"/>
      <c r="E32" s="35"/>
      <c r="F32" s="35"/>
      <c r="G32" s="35"/>
      <c r="H32" s="35"/>
      <c r="I32" s="35"/>
      <c r="J32" s="35"/>
      <c r="K32" s="35"/>
      <c r="L32" s="35"/>
      <c r="M32" s="35"/>
      <c r="N32" s="36" t="s">
        <v>166</v>
      </c>
    </row>
    <row r="33" spans="2:14">
      <c r="C33" s="239" t="s">
        <v>157</v>
      </c>
      <c r="D33" s="239"/>
      <c r="E33" s="239"/>
      <c r="F33" s="239"/>
      <c r="G33" s="239"/>
      <c r="H33" s="239" t="s">
        <v>158</v>
      </c>
      <c r="I33" s="239"/>
      <c r="J33" s="239"/>
      <c r="K33" s="239"/>
      <c r="L33" s="239"/>
      <c r="M33" s="239" t="s">
        <v>159</v>
      </c>
      <c r="N33" s="239"/>
    </row>
    <row r="34" spans="2:14">
      <c r="B34" s="111" t="s">
        <v>160</v>
      </c>
      <c r="C34" s="240" t="s">
        <v>161</v>
      </c>
      <c r="D34" s="240"/>
      <c r="E34" s="240"/>
      <c r="F34" s="241" t="s">
        <v>167</v>
      </c>
      <c r="G34" s="241" t="s">
        <v>169</v>
      </c>
      <c r="H34" s="240" t="s">
        <v>161</v>
      </c>
      <c r="I34" s="240"/>
      <c r="J34" s="240"/>
      <c r="K34" s="241" t="s">
        <v>170</v>
      </c>
      <c r="L34" s="241" t="s">
        <v>171</v>
      </c>
      <c r="M34" s="241" t="s">
        <v>161</v>
      </c>
      <c r="N34" s="241" t="s">
        <v>168</v>
      </c>
    </row>
    <row r="35" spans="2:14" ht="31.5">
      <c r="B35" s="111"/>
      <c r="C35" s="113" t="s">
        <v>162</v>
      </c>
      <c r="D35" s="113" t="s">
        <v>163</v>
      </c>
      <c r="E35" s="113" t="s">
        <v>164</v>
      </c>
      <c r="F35" s="241"/>
      <c r="G35" s="241"/>
      <c r="H35" s="38" t="s">
        <v>162</v>
      </c>
      <c r="I35" s="38" t="s">
        <v>163</v>
      </c>
      <c r="J35" s="38" t="s">
        <v>164</v>
      </c>
      <c r="K35" s="241"/>
      <c r="L35" s="241"/>
      <c r="M35" s="241"/>
      <c r="N35" s="241"/>
    </row>
    <row r="36" spans="2:14">
      <c r="B36" s="114">
        <v>1</v>
      </c>
      <c r="C36" s="114">
        <v>2</v>
      </c>
      <c r="D36" s="114">
        <v>3</v>
      </c>
      <c r="E36" s="114">
        <v>4</v>
      </c>
      <c r="F36" s="114">
        <v>5</v>
      </c>
      <c r="G36" s="114">
        <v>6</v>
      </c>
      <c r="H36" s="114">
        <v>7</v>
      </c>
      <c r="I36" s="114">
        <v>8</v>
      </c>
      <c r="J36" s="114">
        <v>9</v>
      </c>
      <c r="K36" s="114">
        <v>10</v>
      </c>
      <c r="L36" s="114">
        <v>11</v>
      </c>
      <c r="M36" s="114">
        <v>12</v>
      </c>
      <c r="N36" s="114">
        <v>13</v>
      </c>
    </row>
    <row r="37" spans="2:14">
      <c r="B37" s="113" t="s">
        <v>24</v>
      </c>
      <c r="C37" s="44">
        <v>276.53399999999999</v>
      </c>
      <c r="D37" s="113">
        <v>22.329000000000001</v>
      </c>
      <c r="E37" s="113">
        <v>320.26600000000002</v>
      </c>
      <c r="F37" s="113">
        <v>83.7</v>
      </c>
      <c r="G37" s="113">
        <v>7.29</v>
      </c>
      <c r="H37" s="113">
        <v>47.040999999999997</v>
      </c>
      <c r="I37" s="113">
        <v>12.974</v>
      </c>
      <c r="J37" s="113">
        <v>62.348999999999997</v>
      </c>
      <c r="K37" s="113">
        <v>16.3</v>
      </c>
      <c r="L37" s="113">
        <v>-0.64</v>
      </c>
      <c r="M37" s="113">
        <v>382.61500000000001</v>
      </c>
      <c r="N37" s="113">
        <v>5.92</v>
      </c>
    </row>
    <row r="38" spans="2:14">
      <c r="B38" s="113" t="s">
        <v>25</v>
      </c>
      <c r="C38" s="113">
        <v>297.572</v>
      </c>
      <c r="D38" s="113">
        <v>23.427</v>
      </c>
      <c r="E38" s="113">
        <v>346.07400000000001</v>
      </c>
      <c r="F38" s="113">
        <v>85.02</v>
      </c>
      <c r="G38" s="113">
        <v>8.06</v>
      </c>
      <c r="H38" s="113">
        <v>45.817</v>
      </c>
      <c r="I38" s="113">
        <v>12.711</v>
      </c>
      <c r="J38" s="113">
        <v>60.965000000000003</v>
      </c>
      <c r="K38" s="113">
        <v>14.98</v>
      </c>
      <c r="L38" s="113">
        <v>-2.2200000000000002</v>
      </c>
      <c r="M38" s="113">
        <v>407.03899999999999</v>
      </c>
      <c r="N38" s="113">
        <v>6.38</v>
      </c>
    </row>
    <row r="39" spans="2:14">
      <c r="B39" s="113" t="s">
        <v>26</v>
      </c>
      <c r="C39" s="113">
        <v>317.59100000000001</v>
      </c>
      <c r="D39" s="113">
        <v>25.831</v>
      </c>
      <c r="E39" s="113">
        <v>373.13400000000001</v>
      </c>
      <c r="F39" s="113">
        <v>86.61</v>
      </c>
      <c r="G39" s="113">
        <v>7.82</v>
      </c>
      <c r="H39" s="113">
        <v>43.322000000000003</v>
      </c>
      <c r="I39" s="113">
        <v>11.875999999999999</v>
      </c>
      <c r="J39" s="113">
        <v>57.698</v>
      </c>
      <c r="K39" s="113">
        <v>13.39</v>
      </c>
      <c r="L39" s="113">
        <v>-5.36</v>
      </c>
      <c r="M39" s="113">
        <v>430.83199999999999</v>
      </c>
      <c r="N39" s="113">
        <v>5.85</v>
      </c>
    </row>
    <row r="40" spans="2:14">
      <c r="B40" s="113" t="s">
        <v>0</v>
      </c>
      <c r="C40" s="113">
        <v>335.91800000000001</v>
      </c>
      <c r="D40" s="113">
        <v>27.959</v>
      </c>
      <c r="E40" s="113">
        <v>398.18200000000002</v>
      </c>
      <c r="F40" s="113">
        <v>87.11</v>
      </c>
      <c r="G40" s="113">
        <v>6.71</v>
      </c>
      <c r="H40" s="113">
        <v>43.540999999999997</v>
      </c>
      <c r="I40" s="113">
        <v>12.645</v>
      </c>
      <c r="J40" s="113">
        <v>58.9</v>
      </c>
      <c r="K40" s="113">
        <v>12.89</v>
      </c>
      <c r="L40" s="113">
        <v>2.08</v>
      </c>
      <c r="M40" s="113">
        <v>457.08199999999999</v>
      </c>
      <c r="N40" s="113">
        <v>6.09</v>
      </c>
    </row>
    <row r="41" spans="2:14">
      <c r="B41" s="113" t="s">
        <v>1</v>
      </c>
      <c r="C41" s="113">
        <v>359.77100000000002</v>
      </c>
      <c r="D41" s="113">
        <v>32.459000000000003</v>
      </c>
      <c r="E41" s="113">
        <v>433.78500000000003</v>
      </c>
      <c r="F41" s="113">
        <v>88.03</v>
      </c>
      <c r="G41" s="113">
        <v>8.94</v>
      </c>
      <c r="H41" s="113">
        <v>43.959000000000003</v>
      </c>
      <c r="I41" s="113">
        <v>12.087</v>
      </c>
      <c r="J41" s="113">
        <v>58.972000000000001</v>
      </c>
      <c r="K41" s="113">
        <v>11.97</v>
      </c>
      <c r="L41" s="113">
        <v>0.12</v>
      </c>
      <c r="M41" s="113">
        <v>492.75700000000001</v>
      </c>
      <c r="N41" s="113">
        <v>7.8</v>
      </c>
    </row>
    <row r="42" spans="2:14">
      <c r="B42" s="113" t="s">
        <v>2</v>
      </c>
      <c r="C42" s="113">
        <v>387.99700000000001</v>
      </c>
      <c r="D42" s="113">
        <v>38.46</v>
      </c>
      <c r="E42" s="113">
        <v>473.51900000000001</v>
      </c>
      <c r="F42" s="113">
        <v>89</v>
      </c>
      <c r="G42" s="113">
        <v>9.16</v>
      </c>
      <c r="H42" s="113">
        <v>43.262</v>
      </c>
      <c r="I42" s="113">
        <v>11.968999999999999</v>
      </c>
      <c r="J42" s="113">
        <v>58.523000000000003</v>
      </c>
      <c r="K42" s="113">
        <v>11</v>
      </c>
      <c r="L42" s="113">
        <v>-0.76</v>
      </c>
      <c r="M42" s="113">
        <v>532.04200000000003</v>
      </c>
      <c r="N42" s="113">
        <v>7.97</v>
      </c>
    </row>
    <row r="43" spans="2:14">
      <c r="B43" s="113" t="s">
        <v>3</v>
      </c>
      <c r="C43" s="113">
        <v>391.303</v>
      </c>
      <c r="D43" s="113">
        <v>39.704999999999998</v>
      </c>
      <c r="E43" s="113">
        <v>477.839</v>
      </c>
      <c r="F43" s="113">
        <v>89.7</v>
      </c>
      <c r="G43" s="113">
        <v>0.91</v>
      </c>
      <c r="H43" s="113">
        <v>40.018000000000001</v>
      </c>
      <c r="I43" s="113">
        <v>11.628</v>
      </c>
      <c r="J43" s="113">
        <v>54.854999999999997</v>
      </c>
      <c r="K43" s="113">
        <v>10.3</v>
      </c>
      <c r="L43" s="113">
        <v>-6.27</v>
      </c>
      <c r="M43" s="113">
        <v>532.69399999999996</v>
      </c>
      <c r="N43" s="113">
        <v>0.12</v>
      </c>
    </row>
    <row r="44" spans="2:14">
      <c r="B44" s="44" t="s">
        <v>4</v>
      </c>
      <c r="C44" s="113">
        <v>397.44499999999999</v>
      </c>
      <c r="D44" s="115">
        <v>41.573</v>
      </c>
      <c r="E44" s="113">
        <v>487.99299999999999</v>
      </c>
      <c r="F44" s="115">
        <v>90.38</v>
      </c>
      <c r="G44" s="113">
        <v>2.12</v>
      </c>
      <c r="H44" s="115">
        <v>38.393000000000001</v>
      </c>
      <c r="I44" s="113">
        <v>10.648</v>
      </c>
      <c r="J44" s="115">
        <v>51.957000000000001</v>
      </c>
      <c r="K44" s="113">
        <v>9.6199999999999992</v>
      </c>
      <c r="L44" s="115">
        <v>-5.28</v>
      </c>
      <c r="M44" s="113">
        <v>539.95000000000005</v>
      </c>
      <c r="N44" s="115">
        <v>1.36</v>
      </c>
    </row>
    <row r="45" spans="2:14">
      <c r="B45" s="44" t="s">
        <v>27</v>
      </c>
      <c r="C45" s="113">
        <v>414.423</v>
      </c>
      <c r="D45" s="115">
        <v>41.593000000000004</v>
      </c>
      <c r="E45" s="113">
        <v>504.19499999999999</v>
      </c>
      <c r="F45" s="115">
        <v>90.62</v>
      </c>
      <c r="G45" s="113">
        <v>3.32</v>
      </c>
      <c r="H45" s="115">
        <v>37.777000000000001</v>
      </c>
      <c r="I45" s="113">
        <v>11.597</v>
      </c>
      <c r="J45" s="115">
        <v>52.207000000000001</v>
      </c>
      <c r="K45" s="113">
        <v>9.3800000000000008</v>
      </c>
      <c r="L45" s="115">
        <v>0.48</v>
      </c>
      <c r="M45" s="113">
        <v>556.40200000000004</v>
      </c>
      <c r="N45" s="115">
        <v>3.05</v>
      </c>
    </row>
    <row r="47" spans="2:14">
      <c r="B47" s="2" t="s">
        <v>205</v>
      </c>
      <c r="C47" s="110"/>
    </row>
    <row r="49" spans="6:9">
      <c r="F49" s="36"/>
      <c r="G49" s="194"/>
      <c r="H49" s="36"/>
      <c r="I49" s="36"/>
    </row>
  </sheetData>
  <mergeCells count="27">
    <mergeCell ref="C33:G33"/>
    <mergeCell ref="H33:L33"/>
    <mergeCell ref="M33:N33"/>
    <mergeCell ref="L34:L35"/>
    <mergeCell ref="M34:M35"/>
    <mergeCell ref="N34:N35"/>
    <mergeCell ref="C34:E34"/>
    <mergeCell ref="F34:F35"/>
    <mergeCell ref="G34:G35"/>
    <mergeCell ref="H34:J34"/>
    <mergeCell ref="K34:K35"/>
    <mergeCell ref="B8:B9"/>
    <mergeCell ref="C5:H5"/>
    <mergeCell ref="C8:E8"/>
    <mergeCell ref="F8:H8"/>
    <mergeCell ref="C7:H7"/>
    <mergeCell ref="K7:O7"/>
    <mergeCell ref="P7:T7"/>
    <mergeCell ref="U7:V7"/>
    <mergeCell ref="K8:M8"/>
    <mergeCell ref="N8:N9"/>
    <mergeCell ref="O8:O9"/>
    <mergeCell ref="P8:R8"/>
    <mergeCell ref="S8:S9"/>
    <mergeCell ref="T8:T9"/>
    <mergeCell ref="U8:U9"/>
    <mergeCell ref="V8:V9"/>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7"/>
  <sheetViews>
    <sheetView topLeftCell="M1" workbookViewId="0">
      <selection activeCell="R2" sqref="R2"/>
    </sheetView>
  </sheetViews>
  <sheetFormatPr defaultColWidth="8.85546875" defaultRowHeight="15.75"/>
  <cols>
    <col min="1" max="1" width="24.42578125" style="37" bestFit="1" customWidth="1"/>
    <col min="2" max="6" width="9.42578125" style="37" bestFit="1" customWidth="1"/>
    <col min="7" max="7" width="9.85546875" style="37" bestFit="1" customWidth="1"/>
    <col min="8" max="8" width="12.140625" style="37" customWidth="1"/>
    <col min="9" max="9" width="19.42578125" style="37" customWidth="1"/>
    <col min="10" max="10" width="17.42578125" style="37" customWidth="1"/>
    <col min="11" max="11" width="16.42578125" style="37" customWidth="1"/>
    <col min="12" max="12" width="17.28515625" style="37" customWidth="1"/>
    <col min="13" max="13" width="8.85546875" style="37"/>
    <col min="14" max="14" width="10.42578125" style="37" customWidth="1"/>
    <col min="15" max="16384" width="8.85546875" style="37"/>
  </cols>
  <sheetData>
    <row r="1" spans="1:20">
      <c r="A1" s="37" t="s">
        <v>9</v>
      </c>
      <c r="J1" s="63" t="s">
        <v>85</v>
      </c>
      <c r="K1" s="63"/>
      <c r="L1" s="63"/>
      <c r="M1" s="63"/>
    </row>
    <row r="2" spans="1:20">
      <c r="R2" s="37" t="s">
        <v>87</v>
      </c>
    </row>
    <row r="3" spans="1:20">
      <c r="H3" s="260" t="s">
        <v>173</v>
      </c>
      <c r="I3" s="261"/>
      <c r="J3" s="261"/>
      <c r="K3" s="261"/>
      <c r="L3" s="262"/>
      <c r="O3" s="63"/>
      <c r="P3" s="63"/>
      <c r="Q3" s="63"/>
      <c r="R3" s="63"/>
      <c r="S3" s="63"/>
    </row>
    <row r="4" spans="1:20" ht="47.25">
      <c r="H4" s="65" t="s">
        <v>177</v>
      </c>
      <c r="I4" s="65" t="s">
        <v>178</v>
      </c>
      <c r="J4" s="65" t="s">
        <v>176</v>
      </c>
      <c r="K4" s="65" t="s">
        <v>175</v>
      </c>
      <c r="L4" s="65" t="s">
        <v>174</v>
      </c>
    </row>
    <row r="5" spans="1:20" ht="18.75" customHeight="1">
      <c r="H5" s="112" t="s">
        <v>179</v>
      </c>
      <c r="I5" s="117">
        <v>34.118000000000002</v>
      </c>
      <c r="J5" s="117">
        <v>0.38</v>
      </c>
      <c r="K5" s="117">
        <v>32.417000000000002</v>
      </c>
      <c r="L5" s="117">
        <v>2.11</v>
      </c>
      <c r="N5" s="64" t="s">
        <v>191</v>
      </c>
      <c r="O5" s="44"/>
      <c r="P5" s="44"/>
      <c r="Q5" s="44"/>
      <c r="R5" s="44"/>
      <c r="S5" s="44"/>
      <c r="T5" s="44"/>
    </row>
    <row r="6" spans="1:20">
      <c r="H6" s="112" t="s">
        <v>180</v>
      </c>
      <c r="I6" s="117">
        <v>33.508000000000003</v>
      </c>
      <c r="J6" s="117">
        <v>-1.79</v>
      </c>
      <c r="K6" s="117">
        <v>32.844999999999999</v>
      </c>
      <c r="L6" s="117">
        <v>1.32</v>
      </c>
      <c r="N6" s="44"/>
      <c r="O6" s="253" t="s">
        <v>192</v>
      </c>
      <c r="P6" s="253"/>
      <c r="Q6" s="253" t="s">
        <v>193</v>
      </c>
      <c r="R6" s="253"/>
      <c r="S6" s="253" t="s">
        <v>17</v>
      </c>
      <c r="T6" s="253"/>
    </row>
    <row r="7" spans="1:20" ht="31.5">
      <c r="H7" s="112" t="s">
        <v>181</v>
      </c>
      <c r="I7" s="117">
        <v>33.69</v>
      </c>
      <c r="J7" s="117">
        <v>0.54</v>
      </c>
      <c r="K7" s="117">
        <v>47.496000000000002</v>
      </c>
      <c r="L7" s="117">
        <v>44.61</v>
      </c>
      <c r="N7" s="67" t="s">
        <v>12</v>
      </c>
      <c r="O7" s="65" t="s">
        <v>194</v>
      </c>
      <c r="P7" s="65" t="s">
        <v>195</v>
      </c>
      <c r="Q7" s="65" t="s">
        <v>194</v>
      </c>
      <c r="R7" s="65" t="s">
        <v>195</v>
      </c>
      <c r="S7" s="65" t="s">
        <v>194</v>
      </c>
      <c r="T7" s="65" t="s">
        <v>195</v>
      </c>
    </row>
    <row r="8" spans="1:20">
      <c r="H8" s="112" t="s">
        <v>182</v>
      </c>
      <c r="I8" s="117">
        <v>37.683999999999997</v>
      </c>
      <c r="J8" s="117">
        <v>11.86</v>
      </c>
      <c r="K8" s="117">
        <v>52.219000000000001</v>
      </c>
      <c r="L8" s="117">
        <v>9.94</v>
      </c>
      <c r="N8" s="253" t="s">
        <v>200</v>
      </c>
      <c r="O8" s="253"/>
      <c r="P8" s="253"/>
      <c r="Q8" s="253"/>
      <c r="R8" s="253"/>
      <c r="S8" s="253"/>
      <c r="T8" s="253"/>
    </row>
    <row r="9" spans="1:20" ht="18" customHeight="1">
      <c r="H9" s="112" t="s">
        <v>4</v>
      </c>
      <c r="I9" s="117">
        <v>38.090000000000003</v>
      </c>
      <c r="J9" s="117">
        <v>1.08</v>
      </c>
      <c r="K9" s="117">
        <v>47.558999999999997</v>
      </c>
      <c r="L9" s="117">
        <v>-8.92</v>
      </c>
      <c r="N9" s="116" t="s">
        <v>24</v>
      </c>
      <c r="O9" s="118">
        <v>115</v>
      </c>
      <c r="P9" s="118">
        <v>279</v>
      </c>
      <c r="Q9" s="118">
        <v>205</v>
      </c>
      <c r="R9" s="118">
        <v>438</v>
      </c>
      <c r="S9" s="118">
        <v>320</v>
      </c>
      <c r="T9" s="118">
        <v>717</v>
      </c>
    </row>
    <row r="10" spans="1:20" ht="21.75" customHeight="1">
      <c r="H10" s="112" t="s">
        <v>183</v>
      </c>
      <c r="I10" s="117">
        <v>37.862000000000002</v>
      </c>
      <c r="J10" s="117">
        <v>-0.6</v>
      </c>
      <c r="K10" s="117">
        <v>40.679000000000002</v>
      </c>
      <c r="L10" s="117">
        <v>-14.47</v>
      </c>
      <c r="N10" s="116" t="s">
        <v>25</v>
      </c>
      <c r="O10" s="118">
        <v>141</v>
      </c>
      <c r="P10" s="118">
        <v>366</v>
      </c>
      <c r="Q10" s="118">
        <v>157</v>
      </c>
      <c r="R10" s="118">
        <v>340</v>
      </c>
      <c r="S10" s="118">
        <v>298</v>
      </c>
      <c r="T10" s="118">
        <v>706</v>
      </c>
    </row>
    <row r="11" spans="1:20">
      <c r="H11" s="64" t="s">
        <v>184</v>
      </c>
      <c r="I11" s="117">
        <v>37.787999999999997</v>
      </c>
      <c r="J11" s="117">
        <v>-0.19</v>
      </c>
      <c r="K11" s="117">
        <v>35.406999999999996</v>
      </c>
      <c r="L11" s="117">
        <v>-12.96</v>
      </c>
      <c r="N11" s="116" t="s">
        <v>26</v>
      </c>
      <c r="O11" s="118">
        <v>110</v>
      </c>
      <c r="P11" s="118">
        <v>259</v>
      </c>
      <c r="Q11" s="118">
        <v>175</v>
      </c>
      <c r="R11" s="118">
        <v>384</v>
      </c>
      <c r="S11" s="118">
        <v>285</v>
      </c>
      <c r="T11" s="118">
        <v>643</v>
      </c>
    </row>
    <row r="12" spans="1:20" ht="21.75" customHeight="1">
      <c r="N12" s="116" t="s">
        <v>199</v>
      </c>
      <c r="O12" s="118">
        <v>133</v>
      </c>
      <c r="P12" s="118">
        <v>339</v>
      </c>
      <c r="Q12" s="118">
        <v>205</v>
      </c>
      <c r="R12" s="118">
        <v>423</v>
      </c>
      <c r="S12" s="118">
        <v>338</v>
      </c>
      <c r="T12" s="118">
        <v>762</v>
      </c>
    </row>
    <row r="13" spans="1:20" ht="39" customHeight="1">
      <c r="H13" s="257" t="s">
        <v>185</v>
      </c>
      <c r="I13" s="258"/>
      <c r="J13" s="258"/>
      <c r="K13" s="258"/>
      <c r="L13" s="259"/>
      <c r="N13" s="116" t="s">
        <v>196</v>
      </c>
      <c r="O13" s="118">
        <v>164</v>
      </c>
      <c r="P13" s="118">
        <v>407</v>
      </c>
      <c r="Q13" s="118">
        <v>228</v>
      </c>
      <c r="R13" s="118">
        <v>412</v>
      </c>
      <c r="S13" s="118">
        <v>392</v>
      </c>
      <c r="T13" s="118">
        <v>819</v>
      </c>
    </row>
    <row r="14" spans="1:20" ht="35.25" customHeight="1">
      <c r="H14" s="65" t="s">
        <v>177</v>
      </c>
      <c r="I14" s="65" t="s">
        <v>186</v>
      </c>
      <c r="J14" s="65" t="s">
        <v>187</v>
      </c>
      <c r="K14" s="65" t="s">
        <v>188</v>
      </c>
      <c r="L14" s="65" t="s">
        <v>189</v>
      </c>
      <c r="M14" s="62"/>
      <c r="N14" s="116" t="s">
        <v>197</v>
      </c>
      <c r="O14" s="118">
        <v>161</v>
      </c>
      <c r="P14" s="118">
        <v>399</v>
      </c>
      <c r="Q14" s="118">
        <v>307</v>
      </c>
      <c r="R14" s="118">
        <v>585</v>
      </c>
      <c r="S14" s="118">
        <v>468</v>
      </c>
      <c r="T14" s="118">
        <v>984</v>
      </c>
    </row>
    <row r="15" spans="1:20">
      <c r="H15" s="112" t="s">
        <v>179</v>
      </c>
      <c r="I15" s="117">
        <v>148.96799999999999</v>
      </c>
      <c r="J15" s="117">
        <v>12.46</v>
      </c>
      <c r="K15" s="117">
        <v>156.10300000000001</v>
      </c>
      <c r="L15" s="117">
        <v>6.52</v>
      </c>
      <c r="N15" s="116" t="s">
        <v>182</v>
      </c>
      <c r="O15" s="118">
        <v>136</v>
      </c>
      <c r="P15" s="118">
        <v>368</v>
      </c>
      <c r="Q15" s="118">
        <v>369</v>
      </c>
      <c r="R15" s="118">
        <v>678</v>
      </c>
      <c r="S15" s="118">
        <v>505</v>
      </c>
      <c r="T15" s="118">
        <v>1046</v>
      </c>
    </row>
    <row r="16" spans="1:20">
      <c r="H16" s="112" t="s">
        <v>180</v>
      </c>
      <c r="I16" s="117">
        <v>148.96799999999999</v>
      </c>
      <c r="J16" s="117">
        <v>0</v>
      </c>
      <c r="K16" s="117">
        <v>160.77199999999999</v>
      </c>
      <c r="L16" s="117">
        <v>2.99</v>
      </c>
      <c r="N16" s="116" t="s">
        <v>198</v>
      </c>
      <c r="O16" s="118">
        <v>198</v>
      </c>
      <c r="P16" s="118">
        <v>467</v>
      </c>
      <c r="Q16" s="118">
        <v>409</v>
      </c>
      <c r="R16" s="118">
        <v>740</v>
      </c>
      <c r="S16" s="118">
        <v>607</v>
      </c>
      <c r="T16" s="118">
        <v>1207</v>
      </c>
    </row>
    <row r="17" spans="1:20">
      <c r="H17" s="112" t="s">
        <v>181</v>
      </c>
      <c r="I17" s="117">
        <v>175.95599999999999</v>
      </c>
      <c r="J17" s="117">
        <v>18.12</v>
      </c>
      <c r="K17" s="117">
        <v>192.768</v>
      </c>
      <c r="L17" s="117">
        <v>19.899999999999999</v>
      </c>
      <c r="N17" s="253" t="s">
        <v>201</v>
      </c>
      <c r="O17" s="253"/>
      <c r="P17" s="253"/>
      <c r="Q17" s="253"/>
      <c r="R17" s="253"/>
      <c r="S17" s="253"/>
      <c r="T17" s="253"/>
    </row>
    <row r="18" spans="1:20">
      <c r="H18" s="112" t="s">
        <v>182</v>
      </c>
      <c r="I18" s="117">
        <v>183.386</v>
      </c>
      <c r="J18" s="117">
        <v>4.22</v>
      </c>
      <c r="K18" s="117">
        <v>196.989</v>
      </c>
      <c r="L18" s="117">
        <v>2.19</v>
      </c>
      <c r="N18" s="116" t="s">
        <v>24</v>
      </c>
      <c r="O18" s="118">
        <v>50</v>
      </c>
      <c r="P18" s="118">
        <v>153</v>
      </c>
      <c r="Q18" s="118">
        <v>57</v>
      </c>
      <c r="R18" s="118">
        <v>167</v>
      </c>
      <c r="S18" s="118">
        <v>107</v>
      </c>
      <c r="T18" s="118">
        <v>320</v>
      </c>
    </row>
    <row r="19" spans="1:20">
      <c r="H19" s="112" t="s">
        <v>4</v>
      </c>
      <c r="I19" s="117">
        <v>187.386</v>
      </c>
      <c r="J19" s="117">
        <v>2.1800000000000002</v>
      </c>
      <c r="K19" s="117">
        <v>204.12100000000001</v>
      </c>
      <c r="L19" s="117">
        <v>3.62</v>
      </c>
      <c r="N19" s="116" t="s">
        <v>25</v>
      </c>
      <c r="O19" s="118">
        <v>57</v>
      </c>
      <c r="P19" s="118">
        <v>196</v>
      </c>
      <c r="Q19" s="118">
        <v>63</v>
      </c>
      <c r="R19" s="118">
        <v>209</v>
      </c>
      <c r="S19" s="118">
        <v>120</v>
      </c>
      <c r="T19" s="118">
        <v>405</v>
      </c>
    </row>
    <row r="20" spans="1:20">
      <c r="H20" s="112" t="s">
        <v>183</v>
      </c>
      <c r="I20" s="117">
        <v>213.066</v>
      </c>
      <c r="J20" s="117">
        <v>13.7</v>
      </c>
      <c r="K20" s="117">
        <v>219.21199999999999</v>
      </c>
      <c r="L20" s="117">
        <v>7.39</v>
      </c>
      <c r="N20" s="116" t="s">
        <v>26</v>
      </c>
      <c r="O20" s="118">
        <v>61</v>
      </c>
      <c r="P20" s="118">
        <v>195</v>
      </c>
      <c r="Q20" s="118">
        <v>69</v>
      </c>
      <c r="R20" s="118">
        <v>219</v>
      </c>
      <c r="S20" s="118">
        <v>130</v>
      </c>
      <c r="T20" s="118">
        <v>414</v>
      </c>
    </row>
    <row r="21" spans="1:20">
      <c r="H21" s="64" t="s">
        <v>184</v>
      </c>
      <c r="I21" s="117">
        <v>215.066</v>
      </c>
      <c r="J21" s="117">
        <v>0.94</v>
      </c>
      <c r="K21" s="117">
        <v>222.49700000000001</v>
      </c>
      <c r="L21" s="117">
        <v>1.5</v>
      </c>
      <c r="N21" s="116" t="s">
        <v>199</v>
      </c>
      <c r="O21" s="118">
        <v>61</v>
      </c>
      <c r="P21" s="118">
        <v>185</v>
      </c>
      <c r="Q21" s="118">
        <v>98</v>
      </c>
      <c r="R21" s="118">
        <v>293</v>
      </c>
      <c r="S21" s="118">
        <v>159</v>
      </c>
      <c r="T21" s="118">
        <v>478</v>
      </c>
    </row>
    <row r="22" spans="1:20">
      <c r="H22" s="37" t="s">
        <v>190</v>
      </c>
      <c r="N22" s="116" t="s">
        <v>196</v>
      </c>
      <c r="O22" s="118">
        <v>46</v>
      </c>
      <c r="P22" s="118">
        <v>127</v>
      </c>
      <c r="Q22" s="118">
        <v>67</v>
      </c>
      <c r="R22" s="118">
        <v>222</v>
      </c>
      <c r="S22" s="118">
        <v>113</v>
      </c>
      <c r="T22" s="118">
        <v>349</v>
      </c>
    </row>
    <row r="23" spans="1:20">
      <c r="N23" s="116" t="s">
        <v>197</v>
      </c>
      <c r="O23" s="118">
        <v>58</v>
      </c>
      <c r="P23" s="118">
        <v>202</v>
      </c>
      <c r="Q23" s="118">
        <v>60</v>
      </c>
      <c r="R23" s="118">
        <v>164</v>
      </c>
      <c r="S23" s="118">
        <v>118</v>
      </c>
      <c r="T23" s="118">
        <v>366</v>
      </c>
    </row>
    <row r="24" spans="1:20">
      <c r="N24" s="116" t="s">
        <v>182</v>
      </c>
      <c r="O24" s="118">
        <v>65</v>
      </c>
      <c r="P24" s="118">
        <v>213</v>
      </c>
      <c r="Q24" s="118">
        <v>42</v>
      </c>
      <c r="R24" s="118">
        <v>100</v>
      </c>
      <c r="S24" s="118">
        <v>107</v>
      </c>
      <c r="T24" s="118">
        <v>313</v>
      </c>
    </row>
    <row r="25" spans="1:20">
      <c r="A25" s="37" t="s">
        <v>82</v>
      </c>
      <c r="N25" s="116" t="s">
        <v>198</v>
      </c>
      <c r="O25" s="118">
        <v>87</v>
      </c>
      <c r="P25" s="118">
        <v>295</v>
      </c>
      <c r="Q25" s="118">
        <v>62</v>
      </c>
      <c r="R25" s="118">
        <v>129</v>
      </c>
      <c r="S25" s="118">
        <v>149</v>
      </c>
      <c r="T25" s="118">
        <v>424</v>
      </c>
    </row>
    <row r="26" spans="1:20">
      <c r="N26" s="254" t="s">
        <v>202</v>
      </c>
      <c r="O26" s="255"/>
      <c r="P26" s="255"/>
      <c r="Q26" s="255"/>
      <c r="R26" s="255"/>
      <c r="S26" s="255"/>
      <c r="T26" s="256"/>
    </row>
    <row r="27" spans="1:20">
      <c r="A27" s="39" t="s">
        <v>75</v>
      </c>
      <c r="B27" s="40" t="s">
        <v>25</v>
      </c>
      <c r="C27" s="40" t="s">
        <v>26</v>
      </c>
      <c r="D27" s="40" t="s">
        <v>0</v>
      </c>
      <c r="E27" s="40" t="s">
        <v>1</v>
      </c>
      <c r="F27" s="40" t="s">
        <v>2</v>
      </c>
      <c r="G27" s="40" t="s">
        <v>3</v>
      </c>
      <c r="H27" s="40" t="s">
        <v>4</v>
      </c>
      <c r="I27" s="41" t="s">
        <v>27</v>
      </c>
      <c r="J27" s="40" t="s">
        <v>76</v>
      </c>
      <c r="K27" s="40" t="s">
        <v>77</v>
      </c>
      <c r="N27" s="116" t="s">
        <v>24</v>
      </c>
      <c r="O27" s="118">
        <v>165</v>
      </c>
      <c r="P27" s="118">
        <v>432</v>
      </c>
      <c r="Q27" s="118">
        <v>262</v>
      </c>
      <c r="R27" s="118">
        <v>605</v>
      </c>
      <c r="S27" s="118">
        <v>427</v>
      </c>
      <c r="T27" s="118">
        <v>1037</v>
      </c>
    </row>
    <row r="28" spans="1:20">
      <c r="A28" s="42" t="s">
        <v>78</v>
      </c>
      <c r="B28" s="43"/>
      <c r="C28" s="43"/>
      <c r="D28" s="43"/>
      <c r="E28" s="43"/>
      <c r="F28" s="43"/>
      <c r="G28" s="43"/>
      <c r="H28" s="44"/>
      <c r="I28" s="45"/>
      <c r="J28" s="44"/>
      <c r="K28" s="44"/>
      <c r="N28" s="116" t="s">
        <v>25</v>
      </c>
      <c r="O28" s="118">
        <v>198</v>
      </c>
      <c r="P28" s="118">
        <v>562</v>
      </c>
      <c r="Q28" s="118">
        <v>220</v>
      </c>
      <c r="R28" s="118">
        <v>549</v>
      </c>
      <c r="S28" s="118">
        <v>418</v>
      </c>
      <c r="T28" s="118">
        <v>1111</v>
      </c>
    </row>
    <row r="29" spans="1:20">
      <c r="A29" s="46" t="s">
        <v>79</v>
      </c>
      <c r="B29" s="47">
        <v>26401</v>
      </c>
      <c r="C29" s="47">
        <v>25838.36</v>
      </c>
      <c r="D29" s="47">
        <v>25555.97</v>
      </c>
      <c r="E29" s="47">
        <v>25500.79</v>
      </c>
      <c r="F29" s="47">
        <v>26160.36</v>
      </c>
      <c r="G29" s="47">
        <v>25736.144</v>
      </c>
      <c r="H29" s="48">
        <v>25946.085795000006</v>
      </c>
      <c r="I29" s="49">
        <v>26188.019876999992</v>
      </c>
      <c r="J29" s="48">
        <v>25909.842608000003</v>
      </c>
      <c r="K29" s="48">
        <v>24745.489745589999</v>
      </c>
      <c r="N29" s="116" t="s">
        <v>26</v>
      </c>
      <c r="O29" s="118">
        <v>171</v>
      </c>
      <c r="P29" s="118">
        <v>454</v>
      </c>
      <c r="Q29" s="118">
        <v>244</v>
      </c>
      <c r="R29" s="118">
        <v>603</v>
      </c>
      <c r="S29" s="118">
        <v>415</v>
      </c>
      <c r="T29" s="118">
        <v>1057</v>
      </c>
    </row>
    <row r="30" spans="1:20">
      <c r="A30" s="50" t="s">
        <v>80</v>
      </c>
      <c r="B30" s="51">
        <v>25656</v>
      </c>
      <c r="C30" s="51">
        <v>25006.61</v>
      </c>
      <c r="D30" s="51">
        <v>24701.57</v>
      </c>
      <c r="E30" s="51">
        <v>24530.02</v>
      </c>
      <c r="F30" s="51">
        <v>21816.890000000003</v>
      </c>
      <c r="G30" s="51">
        <v>24916.994999999999</v>
      </c>
      <c r="H30" s="48">
        <v>24993.347692000007</v>
      </c>
      <c r="I30" s="49">
        <v>25401.26076999999</v>
      </c>
      <c r="J30" s="48">
        <v>25241.805263000002</v>
      </c>
      <c r="K30" s="48">
        <v>23988.160436252001</v>
      </c>
      <c r="N30" s="116" t="s">
        <v>199</v>
      </c>
      <c r="O30" s="118">
        <v>194</v>
      </c>
      <c r="P30" s="118">
        <v>524</v>
      </c>
      <c r="Q30" s="118">
        <v>303</v>
      </c>
      <c r="R30" s="118">
        <v>716</v>
      </c>
      <c r="S30" s="118">
        <v>497</v>
      </c>
      <c r="T30" s="118">
        <v>1240</v>
      </c>
    </row>
    <row r="31" spans="1:20">
      <c r="A31" s="52" t="s">
        <v>81</v>
      </c>
      <c r="B31" s="51"/>
      <c r="C31" s="51"/>
      <c r="D31" s="51"/>
      <c r="E31" s="51"/>
      <c r="F31" s="51"/>
      <c r="G31" s="51"/>
      <c r="H31" s="48"/>
      <c r="I31" s="49"/>
      <c r="J31" s="53"/>
      <c r="K31" s="48"/>
      <c r="N31" s="116" t="s">
        <v>196</v>
      </c>
      <c r="O31" s="118">
        <v>210</v>
      </c>
      <c r="P31" s="118">
        <v>534</v>
      </c>
      <c r="Q31" s="118">
        <v>295</v>
      </c>
      <c r="R31" s="118">
        <v>634</v>
      </c>
      <c r="S31" s="118">
        <v>505</v>
      </c>
      <c r="T31" s="118">
        <v>1168</v>
      </c>
    </row>
    <row r="32" spans="1:20">
      <c r="A32" s="50" t="s">
        <v>79</v>
      </c>
      <c r="B32" s="54">
        <v>5801</v>
      </c>
      <c r="C32" s="54">
        <v>5908.49</v>
      </c>
      <c r="D32" s="54">
        <v>6861</v>
      </c>
      <c r="E32" s="54">
        <v>7348</v>
      </c>
      <c r="F32" s="54">
        <v>19359.72</v>
      </c>
      <c r="G32" s="54">
        <v>26054.457000000002</v>
      </c>
      <c r="H32" s="48">
        <v>21608.964371279999</v>
      </c>
      <c r="I32" s="49">
        <v>14490.87984238</v>
      </c>
      <c r="J32" s="48">
        <v>9497.0879090963881</v>
      </c>
      <c r="K32" s="48">
        <v>8911.9494367812695</v>
      </c>
      <c r="N32" s="116" t="s">
        <v>197</v>
      </c>
      <c r="O32" s="118">
        <v>219</v>
      </c>
      <c r="P32" s="118">
        <v>601</v>
      </c>
      <c r="Q32" s="118">
        <v>367</v>
      </c>
      <c r="R32" s="118">
        <v>749</v>
      </c>
      <c r="S32" s="118">
        <v>586</v>
      </c>
      <c r="T32" s="118">
        <v>1350</v>
      </c>
    </row>
    <row r="33" spans="1:20">
      <c r="A33" s="55" t="s">
        <v>80</v>
      </c>
      <c r="B33" s="51">
        <v>5669</v>
      </c>
      <c r="C33" s="51">
        <v>5784.83</v>
      </c>
      <c r="D33" s="51">
        <v>6777</v>
      </c>
      <c r="E33" s="51">
        <v>7221</v>
      </c>
      <c r="F33" s="51">
        <v>18371.89</v>
      </c>
      <c r="G33" s="56">
        <v>25930.179000000004</v>
      </c>
      <c r="H33" s="48">
        <v>21459.986691099999</v>
      </c>
      <c r="I33" s="49">
        <v>14351.6809998302</v>
      </c>
      <c r="J33" s="48">
        <v>9332.2520380545993</v>
      </c>
      <c r="K33" s="48">
        <v>8705.0609577725409</v>
      </c>
      <c r="N33" s="116" t="s">
        <v>182</v>
      </c>
      <c r="O33" s="118">
        <v>201</v>
      </c>
      <c r="P33" s="118">
        <v>581</v>
      </c>
      <c r="Q33" s="118">
        <v>411</v>
      </c>
      <c r="R33" s="118">
        <v>778</v>
      </c>
      <c r="S33" s="118">
        <v>612</v>
      </c>
      <c r="T33" s="118">
        <v>1359</v>
      </c>
    </row>
    <row r="34" spans="1:20">
      <c r="A34" s="52"/>
      <c r="B34" s="53"/>
      <c r="C34" s="51"/>
      <c r="D34" s="53"/>
      <c r="E34" s="53"/>
      <c r="F34" s="53"/>
      <c r="G34" s="57"/>
      <c r="H34" s="48"/>
      <c r="I34" s="49"/>
      <c r="J34" s="48"/>
      <c r="K34" s="48"/>
      <c r="N34" s="116" t="s">
        <v>198</v>
      </c>
      <c r="O34" s="118">
        <v>285</v>
      </c>
      <c r="P34" s="118">
        <v>762</v>
      </c>
      <c r="Q34" s="118">
        <v>471</v>
      </c>
      <c r="R34" s="118">
        <v>869</v>
      </c>
      <c r="S34" s="118">
        <v>756</v>
      </c>
      <c r="T34" s="118">
        <v>1631</v>
      </c>
    </row>
    <row r="35" spans="1:20">
      <c r="A35" s="58" t="s">
        <v>56</v>
      </c>
      <c r="B35" s="59"/>
      <c r="C35" s="59"/>
      <c r="D35" s="59"/>
      <c r="E35" s="59"/>
      <c r="F35" s="59"/>
      <c r="G35" s="59"/>
      <c r="H35" s="48"/>
      <c r="I35" s="102"/>
      <c r="J35" s="48"/>
      <c r="K35" s="60"/>
      <c r="N35" s="37" t="s">
        <v>203</v>
      </c>
    </row>
    <row r="36" spans="1:20">
      <c r="A36" s="1" t="s">
        <v>79</v>
      </c>
      <c r="B36" s="61">
        <v>32202</v>
      </c>
      <c r="C36" s="61">
        <v>31746.85</v>
      </c>
      <c r="D36" s="61">
        <v>32416.97</v>
      </c>
      <c r="E36" s="61">
        <v>32848.79</v>
      </c>
      <c r="F36" s="61">
        <v>47512</v>
      </c>
      <c r="G36" s="61">
        <v>52221.395000000004</v>
      </c>
      <c r="H36" s="61">
        <v>47555.050166280009</v>
      </c>
      <c r="I36" s="61">
        <v>40678.899719379988</v>
      </c>
      <c r="J36" s="61">
        <v>35406.930517096393</v>
      </c>
      <c r="K36" s="61">
        <v>33657.439182371265</v>
      </c>
      <c r="N36" s="37" t="s">
        <v>204</v>
      </c>
    </row>
    <row r="37" spans="1:20" ht="18.75">
      <c r="A37" s="1" t="s">
        <v>172</v>
      </c>
      <c r="B37" s="61">
        <v>31325</v>
      </c>
      <c r="C37" s="61">
        <v>30791.439999999999</v>
      </c>
      <c r="D37" s="61">
        <v>31478.57</v>
      </c>
      <c r="E37" s="61">
        <v>31751.02</v>
      </c>
      <c r="F37" s="61">
        <v>46485.88</v>
      </c>
      <c r="G37" s="61">
        <v>51229.288</v>
      </c>
      <c r="H37" s="61">
        <v>46453.334383100009</v>
      </c>
      <c r="I37" s="61">
        <v>39752.941769830191</v>
      </c>
      <c r="J37" s="61">
        <v>34574.0573010546</v>
      </c>
      <c r="K37" s="61">
        <v>32693.221394024542</v>
      </c>
    </row>
  </sheetData>
  <mergeCells count="8">
    <mergeCell ref="N17:T17"/>
    <mergeCell ref="N26:T26"/>
    <mergeCell ref="H13:L13"/>
    <mergeCell ref="H3:L3"/>
    <mergeCell ref="O6:P6"/>
    <mergeCell ref="Q6:R6"/>
    <mergeCell ref="S6:T6"/>
    <mergeCell ref="N8:T8"/>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5"/>
  <sheetViews>
    <sheetView workbookViewId="0">
      <selection activeCell="C53" sqref="C53"/>
    </sheetView>
  </sheetViews>
  <sheetFormatPr defaultColWidth="8.85546875" defaultRowHeight="15.75"/>
  <cols>
    <col min="1" max="1" width="8.85546875" style="37"/>
    <col min="2" max="2" width="16.28515625" style="37" bestFit="1" customWidth="1"/>
    <col min="3" max="3" width="32.28515625" style="37" bestFit="1" customWidth="1"/>
    <col min="4" max="4" width="12.85546875" style="37" bestFit="1" customWidth="1"/>
    <col min="5" max="5" width="11.7109375" style="37" bestFit="1" customWidth="1"/>
    <col min="6" max="11" width="14.28515625" style="37" bestFit="1" customWidth="1"/>
    <col min="12" max="12" width="11.7109375" style="37" bestFit="1" customWidth="1"/>
    <col min="13" max="13" width="8.85546875" style="37"/>
    <col min="14" max="15" width="10.42578125" style="37" bestFit="1" customWidth="1"/>
    <col min="16" max="16384" width="8.85546875" style="37"/>
  </cols>
  <sheetData>
    <row r="1" spans="2:15" ht="16.5" thickBot="1"/>
    <row r="2" spans="2:15">
      <c r="C2" s="187" t="s">
        <v>122</v>
      </c>
      <c r="D2" s="142" t="s">
        <v>24</v>
      </c>
      <c r="E2" s="142" t="s">
        <v>25</v>
      </c>
      <c r="F2" s="142" t="s">
        <v>26</v>
      </c>
      <c r="G2" s="142" t="s">
        <v>0</v>
      </c>
      <c r="H2" s="142" t="s">
        <v>1</v>
      </c>
      <c r="I2" s="142" t="s">
        <v>2</v>
      </c>
      <c r="J2" s="142" t="s">
        <v>3</v>
      </c>
      <c r="K2" s="142" t="s">
        <v>4</v>
      </c>
      <c r="L2" s="143" t="s">
        <v>27</v>
      </c>
    </row>
    <row r="3" spans="2:15" s="2" customFormat="1">
      <c r="C3" s="176" t="s">
        <v>73</v>
      </c>
      <c r="D3" s="186">
        <f>FugitiveEmissions!C57</f>
        <v>33981</v>
      </c>
      <c r="E3" s="186">
        <f>FugitiveEmissions!D57</f>
        <v>32190</v>
      </c>
      <c r="F3" s="186">
        <f>FugitiveEmissions!E57</f>
        <v>33988</v>
      </c>
      <c r="G3" s="186">
        <f>FugitiveEmissions!F57</f>
        <v>34118</v>
      </c>
      <c r="H3" s="186">
        <f>FugitiveEmissions!G57</f>
        <v>33508</v>
      </c>
      <c r="I3" s="186">
        <f>FugitiveEmissions!H57</f>
        <v>33689.599999999999</v>
      </c>
      <c r="J3" s="186">
        <f>FugitiveEmissions!I57</f>
        <v>37684</v>
      </c>
      <c r="K3" s="186">
        <f>FugitiveEmissions!J57</f>
        <v>38089.5</v>
      </c>
      <c r="L3" s="188">
        <f>FugitiveEmissions!K57</f>
        <v>37862</v>
      </c>
    </row>
    <row r="4" spans="2:15" s="2" customFormat="1">
      <c r="C4" s="176" t="s">
        <v>84</v>
      </c>
      <c r="D4" s="186">
        <f>FugitiveEmissions!C58</f>
        <v>127.416</v>
      </c>
      <c r="E4" s="186">
        <f>FugitiveEmissions!D58</f>
        <v>130.10900000000001</v>
      </c>
      <c r="F4" s="186">
        <f>FugitiveEmissions!E58</f>
        <v>146.55099999999999</v>
      </c>
      <c r="G4" s="186">
        <f>FugitiveEmissions!F58</f>
        <v>156.10300000000001</v>
      </c>
      <c r="H4" s="186">
        <f>FugitiveEmissions!G58</f>
        <v>160.77199999999999</v>
      </c>
      <c r="I4" s="186">
        <f>FugitiveEmissions!H58</f>
        <v>192.768</v>
      </c>
      <c r="J4" s="186">
        <f>FugitiveEmissions!I58</f>
        <v>196.989</v>
      </c>
      <c r="K4" s="186">
        <f>FugitiveEmissions!J58</f>
        <v>204.12100000000001</v>
      </c>
      <c r="L4" s="188">
        <f>FugitiveEmissions!K58</f>
        <v>219.21199999999999</v>
      </c>
    </row>
    <row r="5" spans="2:15" s="2" customFormat="1">
      <c r="C5" s="176" t="s">
        <v>61</v>
      </c>
      <c r="D5" s="186">
        <f>FugitiveEmissions!C59</f>
        <v>427</v>
      </c>
      <c r="E5" s="186">
        <f>FugitiveEmissions!D59</f>
        <v>418</v>
      </c>
      <c r="F5" s="186">
        <f>FugitiveEmissions!E59</f>
        <v>415</v>
      </c>
      <c r="G5" s="186">
        <f>FugitiveEmissions!F59</f>
        <v>497</v>
      </c>
      <c r="H5" s="186">
        <f>FugitiveEmissions!G59</f>
        <v>505</v>
      </c>
      <c r="I5" s="186">
        <f>FugitiveEmissions!H59</f>
        <v>589</v>
      </c>
      <c r="J5" s="186">
        <f>FugitiveEmissions!I59</f>
        <v>617</v>
      </c>
      <c r="K5" s="186">
        <f>FugitiveEmissions!J59</f>
        <v>613</v>
      </c>
      <c r="L5" s="188">
        <f>FugitiveEmissions!K59</f>
        <v>578</v>
      </c>
    </row>
    <row r="6" spans="2:15" s="2" customFormat="1">
      <c r="C6" s="176" t="s">
        <v>74</v>
      </c>
      <c r="D6" s="186">
        <f>FugitiveEmissions!C60</f>
        <v>31763</v>
      </c>
      <c r="E6" s="186">
        <f>FugitiveEmissions!D60</f>
        <v>32202</v>
      </c>
      <c r="F6" s="186">
        <f>FugitiveEmissions!E60</f>
        <v>31746.85</v>
      </c>
      <c r="G6" s="186">
        <f>FugitiveEmissions!F60</f>
        <v>32416.97</v>
      </c>
      <c r="H6" s="186">
        <f>FugitiveEmissions!G60</f>
        <v>32849.79</v>
      </c>
      <c r="I6" s="186">
        <f>FugitiveEmissions!H60</f>
        <v>47512</v>
      </c>
      <c r="J6" s="186">
        <f>FugitiveEmissions!I60</f>
        <v>52221.4</v>
      </c>
      <c r="K6" s="186">
        <f>FugitiveEmissions!J60</f>
        <v>47555.05</v>
      </c>
      <c r="L6" s="188">
        <f>FugitiveEmissions!K60</f>
        <v>40678.9</v>
      </c>
    </row>
    <row r="7" spans="2:15" s="2" customFormat="1">
      <c r="C7" s="176" t="s">
        <v>88</v>
      </c>
      <c r="D7" s="186">
        <f>FugitiveEmissions!C61</f>
        <v>30775</v>
      </c>
      <c r="E7" s="186">
        <f>FugitiveEmissions!D61</f>
        <v>31325</v>
      </c>
      <c r="F7" s="186">
        <f>FugitiveEmissions!E61</f>
        <v>30791.439999999999</v>
      </c>
      <c r="G7" s="186">
        <f>FugitiveEmissions!F61</f>
        <v>31479</v>
      </c>
      <c r="H7" s="186">
        <f>FugitiveEmissions!G61</f>
        <v>31746</v>
      </c>
      <c r="I7" s="186">
        <f>FugitiveEmissions!H61</f>
        <v>46521</v>
      </c>
      <c r="J7" s="186">
        <f>FugitiveEmissions!I61</f>
        <v>51248</v>
      </c>
      <c r="K7" s="186">
        <f>FugitiveEmissions!J61</f>
        <v>46482</v>
      </c>
      <c r="L7" s="188">
        <f>FugitiveEmissions!K61</f>
        <v>39777</v>
      </c>
    </row>
    <row r="8" spans="2:15" s="2" customFormat="1">
      <c r="C8" s="176" t="s">
        <v>89</v>
      </c>
      <c r="D8" s="186">
        <f>FugitiveEmissions!C62</f>
        <v>988</v>
      </c>
      <c r="E8" s="186">
        <f>FugitiveEmissions!D62</f>
        <v>877</v>
      </c>
      <c r="F8" s="186">
        <f>FugitiveEmissions!E62</f>
        <v>956</v>
      </c>
      <c r="G8" s="186">
        <f>FugitiveEmissions!F62</f>
        <v>938</v>
      </c>
      <c r="H8" s="186">
        <f>FugitiveEmissions!G62</f>
        <v>1098.8</v>
      </c>
      <c r="I8" s="186">
        <f>FugitiveEmissions!H62</f>
        <v>974.89</v>
      </c>
      <c r="J8" s="186">
        <f>FugitiveEmissions!I62</f>
        <v>967.74</v>
      </c>
      <c r="K8" s="186">
        <f>FugitiveEmissions!J62</f>
        <v>1077.2</v>
      </c>
      <c r="L8" s="188">
        <f>FugitiveEmissions!K62</f>
        <v>902.42</v>
      </c>
    </row>
    <row r="9" spans="2:15" s="2" customFormat="1">
      <c r="C9" s="176" t="s">
        <v>101</v>
      </c>
      <c r="D9" s="186">
        <f>FugitiveEmissions!C64</f>
        <v>26774.25</v>
      </c>
      <c r="E9" s="186">
        <f>FugitiveEmissions!D64</f>
        <v>27252.75</v>
      </c>
      <c r="F9" s="186">
        <f>FugitiveEmissions!E64</f>
        <v>26788.552799999998</v>
      </c>
      <c r="G9" s="186">
        <f>FugitiveEmissions!F64</f>
        <v>26980</v>
      </c>
      <c r="H9" s="186">
        <f>FugitiveEmissions!G64</f>
        <v>27066</v>
      </c>
      <c r="I9" s="186">
        <f>FugitiveEmissions!H64</f>
        <v>40861</v>
      </c>
      <c r="J9" s="186">
        <f>FugitiveEmissions!I64</f>
        <v>46038</v>
      </c>
      <c r="K9" s="186">
        <f>FugitiveEmissions!J64</f>
        <v>41169</v>
      </c>
      <c r="L9" s="188">
        <f>FugitiveEmissions!K64</f>
        <v>34348</v>
      </c>
    </row>
    <row r="10" spans="2:15" s="2" customFormat="1" ht="16.5" thickBot="1">
      <c r="C10" s="182" t="s">
        <v>90</v>
      </c>
      <c r="D10" s="189">
        <f>FugitiveEmissions!C65</f>
        <v>524.08950000000004</v>
      </c>
      <c r="E10" s="189">
        <f>FugitiveEmissions!D65</f>
        <v>531.33299999999997</v>
      </c>
      <c r="F10" s="189">
        <f>FugitiveEmissions!E65</f>
        <v>523.82302500000003</v>
      </c>
      <c r="G10" s="189">
        <f>FugitiveEmissions!F65</f>
        <v>534.8800050000001</v>
      </c>
      <c r="H10" s="189">
        <f>FugitiveEmissions!G65</f>
        <v>542.02153500000009</v>
      </c>
      <c r="I10" s="189">
        <f>FugitiveEmissions!H65</f>
        <v>783.94800000000009</v>
      </c>
      <c r="J10" s="189">
        <f>FugitiveEmissions!I65</f>
        <v>861.65310000000011</v>
      </c>
      <c r="K10" s="189">
        <f>FugitiveEmissions!J65</f>
        <v>784.6583250000001</v>
      </c>
      <c r="L10" s="190">
        <f>FugitiveEmissions!K65</f>
        <v>671.20185000000004</v>
      </c>
    </row>
    <row r="11" spans="2:15" s="2" customFormat="1" ht="16.5" thickBot="1">
      <c r="C11" s="108"/>
      <c r="D11" s="107"/>
      <c r="E11" s="107"/>
      <c r="F11" s="107"/>
      <c r="G11" s="107"/>
      <c r="H11" s="107"/>
      <c r="I11" s="107"/>
      <c r="J11" s="107"/>
      <c r="K11" s="107"/>
      <c r="L11" s="107"/>
    </row>
    <row r="12" spans="2:15" s="2" customFormat="1">
      <c r="B12" s="263" t="s">
        <v>123</v>
      </c>
      <c r="C12" s="264"/>
      <c r="D12" s="264"/>
      <c r="E12" s="264"/>
      <c r="F12" s="264"/>
      <c r="G12" s="264"/>
      <c r="H12" s="264"/>
      <c r="I12" s="264"/>
      <c r="J12" s="264"/>
      <c r="K12" s="264"/>
      <c r="L12" s="265"/>
    </row>
    <row r="13" spans="2:15">
      <c r="B13" s="176" t="s">
        <v>117</v>
      </c>
      <c r="C13" s="155" t="s">
        <v>73</v>
      </c>
      <c r="D13" s="166">
        <f>FugitiveEmissions!C57*FugitiveEmissions!$C$72</f>
        <v>11.349653999999999</v>
      </c>
      <c r="E13" s="166">
        <f>FugitiveEmissions!D57*FugitiveEmissions!$C$72</f>
        <v>10.75146</v>
      </c>
      <c r="F13" s="166">
        <f>FugitiveEmissions!E57*FugitiveEmissions!$C$72</f>
        <v>11.351991999999999</v>
      </c>
      <c r="G13" s="166">
        <f>FugitiveEmissions!F57*FugitiveEmissions!$C$72</f>
        <v>11.395412</v>
      </c>
      <c r="H13" s="166">
        <f>FugitiveEmissions!G57*FugitiveEmissions!$C$72</f>
        <v>11.191671999999999</v>
      </c>
      <c r="I13" s="166">
        <f>FugitiveEmissions!H57*FugitiveEmissions!$C$72</f>
        <v>11.252326399999999</v>
      </c>
      <c r="J13" s="166">
        <f>FugitiveEmissions!I57*FugitiveEmissions!$C$72</f>
        <v>12.586456</v>
      </c>
      <c r="K13" s="166">
        <f>FugitiveEmissions!J57*FugitiveEmissions!$C$72</f>
        <v>12.721893</v>
      </c>
      <c r="L13" s="167">
        <f>FugitiveEmissions!K57*FugitiveEmissions!$C$72</f>
        <v>12.645908</v>
      </c>
      <c r="O13" s="102"/>
    </row>
    <row r="14" spans="2:15">
      <c r="B14" s="176" t="s">
        <v>118</v>
      </c>
      <c r="C14" s="155" t="s">
        <v>73</v>
      </c>
      <c r="D14" s="166">
        <f t="shared" ref="D14:L14" si="0">D13*21</f>
        <v>238.34273399999998</v>
      </c>
      <c r="E14" s="166">
        <f t="shared" si="0"/>
        <v>225.78065999999998</v>
      </c>
      <c r="F14" s="166">
        <f t="shared" si="0"/>
        <v>238.39183199999999</v>
      </c>
      <c r="G14" s="166">
        <f t="shared" si="0"/>
        <v>239.303652</v>
      </c>
      <c r="H14" s="166">
        <f t="shared" si="0"/>
        <v>235.02511199999998</v>
      </c>
      <c r="I14" s="166">
        <f t="shared" si="0"/>
        <v>236.29885439999998</v>
      </c>
      <c r="J14" s="166">
        <f t="shared" si="0"/>
        <v>264.31557600000002</v>
      </c>
      <c r="K14" s="166">
        <f t="shared" si="0"/>
        <v>267.15975299999997</v>
      </c>
      <c r="L14" s="167">
        <f t="shared" si="0"/>
        <v>265.56406800000002</v>
      </c>
    </row>
    <row r="15" spans="2:15">
      <c r="B15" s="176" t="s">
        <v>117</v>
      </c>
      <c r="C15" s="155" t="s">
        <v>119</v>
      </c>
      <c r="D15" s="166">
        <f>FugitiveEmissions!C60*FugitiveEmissions!$C$74</f>
        <v>112.94922800000001</v>
      </c>
      <c r="E15" s="166">
        <f>FugitiveEmissions!D60*FugitiveEmissions!$C$74</f>
        <v>114.510312</v>
      </c>
      <c r="F15" s="166">
        <f>FugitiveEmissions!E60*FugitiveEmissions!$C$74</f>
        <v>112.8917986</v>
      </c>
      <c r="G15" s="166">
        <f>FugitiveEmissions!F60*FugitiveEmissions!$C$74</f>
        <v>115.27474532000001</v>
      </c>
      <c r="H15" s="166">
        <f>FugitiveEmissions!G60*FugitiveEmissions!$C$74</f>
        <v>116.81385324000001</v>
      </c>
      <c r="I15" s="166">
        <f>FugitiveEmissions!H60*FugitiveEmissions!$C$74</f>
        <v>168.95267200000001</v>
      </c>
      <c r="J15" s="166">
        <f>FugitiveEmissions!I60*FugitiveEmissions!$C$74</f>
        <v>185.6992984</v>
      </c>
      <c r="K15" s="166">
        <f>FugitiveEmissions!J60*FugitiveEmissions!$C$74</f>
        <v>169.10575780000002</v>
      </c>
      <c r="L15" s="167">
        <f>FugitiveEmissions!K60*FugitiveEmissions!$C$74</f>
        <v>144.6541684</v>
      </c>
      <c r="O15" s="102"/>
    </row>
    <row r="16" spans="2:15">
      <c r="B16" s="176" t="s">
        <v>118</v>
      </c>
      <c r="C16" s="155" t="s">
        <v>119</v>
      </c>
      <c r="D16" s="166">
        <f t="shared" ref="D16:L16" si="1">D15*21</f>
        <v>2371.9337880000003</v>
      </c>
      <c r="E16" s="166">
        <f t="shared" si="1"/>
        <v>2404.7165519999999</v>
      </c>
      <c r="F16" s="166">
        <f t="shared" si="1"/>
        <v>2370.7277706</v>
      </c>
      <c r="G16" s="166">
        <f t="shared" si="1"/>
        <v>2420.7696517200002</v>
      </c>
      <c r="H16" s="166">
        <f t="shared" si="1"/>
        <v>2453.0909180400004</v>
      </c>
      <c r="I16" s="166">
        <f t="shared" si="1"/>
        <v>3548.006112</v>
      </c>
      <c r="J16" s="166">
        <f t="shared" si="1"/>
        <v>3899.6852664000003</v>
      </c>
      <c r="K16" s="166">
        <f t="shared" si="1"/>
        <v>3551.2209138000003</v>
      </c>
      <c r="L16" s="167">
        <f t="shared" si="1"/>
        <v>3037.7375364</v>
      </c>
    </row>
    <row r="17" spans="2:12">
      <c r="B17" s="176" t="s">
        <v>117</v>
      </c>
      <c r="C17" s="155" t="s">
        <v>120</v>
      </c>
      <c r="D17" s="166">
        <f>FugitiveEmissions!C64*FugitiveEmissions!$C$76</f>
        <v>285.60092474999999</v>
      </c>
      <c r="E17" s="166">
        <f>FugitiveEmissions!D64*FugitiveEmissions!$C$76</f>
        <v>290.70508424999997</v>
      </c>
      <c r="F17" s="166">
        <f>FugitiveEmissions!E64*FugitiveEmissions!$C$76</f>
        <v>285.75349271759995</v>
      </c>
      <c r="G17" s="166">
        <f>FugitiveEmissions!F64*FugitiveEmissions!$C$76</f>
        <v>287.79566</v>
      </c>
      <c r="H17" s="166">
        <f>FugitiveEmissions!G64*FugitiveEmissions!$C$76</f>
        <v>288.71302199999997</v>
      </c>
      <c r="I17" s="166">
        <f>FugitiveEmissions!H64*FugitiveEmissions!$C$76</f>
        <v>435.86428699999999</v>
      </c>
      <c r="J17" s="166">
        <f>FugitiveEmissions!I64*FugitiveEmissions!$C$76</f>
        <v>491.08734599999997</v>
      </c>
      <c r="K17" s="166">
        <f>FugitiveEmissions!J64*FugitiveEmissions!$C$76</f>
        <v>439.14972299999999</v>
      </c>
      <c r="L17" s="167">
        <f>FugitiveEmissions!K64*FugitiveEmissions!$C$76</f>
        <v>366.39011599999998</v>
      </c>
    </row>
    <row r="18" spans="2:12">
      <c r="B18" s="176" t="s">
        <v>118</v>
      </c>
      <c r="C18" s="155" t="s">
        <v>120</v>
      </c>
      <c r="D18" s="166">
        <f t="shared" ref="D18:L18" si="2">D17*21</f>
        <v>5997.6194197499999</v>
      </c>
      <c r="E18" s="166">
        <f t="shared" si="2"/>
        <v>6104.806769249999</v>
      </c>
      <c r="F18" s="166">
        <f t="shared" si="2"/>
        <v>6000.8233470695986</v>
      </c>
      <c r="G18" s="166">
        <f t="shared" si="2"/>
        <v>6043.7088599999997</v>
      </c>
      <c r="H18" s="166">
        <f t="shared" si="2"/>
        <v>6062.973461999999</v>
      </c>
      <c r="I18" s="166">
        <f t="shared" si="2"/>
        <v>9153.1500269999997</v>
      </c>
      <c r="J18" s="166">
        <f t="shared" si="2"/>
        <v>10312.834266</v>
      </c>
      <c r="K18" s="166">
        <f t="shared" si="2"/>
        <v>9222.1441830000003</v>
      </c>
      <c r="L18" s="167">
        <f t="shared" si="2"/>
        <v>7694.1924359999994</v>
      </c>
    </row>
    <row r="19" spans="2:12">
      <c r="B19" s="176" t="s">
        <v>117</v>
      </c>
      <c r="C19" s="155" t="s">
        <v>121</v>
      </c>
      <c r="D19" s="166">
        <f>FugitiveEmissions!C58*FugitiveEmissions!$C$73*10^-5</f>
        <v>8.6120984064000008E-3</v>
      </c>
      <c r="E19" s="166">
        <f>FugitiveEmissions!D58*FugitiveEmissions!$C$73*10^-5</f>
        <v>8.7941193536000013E-3</v>
      </c>
      <c r="F19" s="166">
        <f>FugitiveEmissions!E58*FugitiveEmissions!$C$73*10^-5</f>
        <v>9.905440710399999E-3</v>
      </c>
      <c r="G19" s="166">
        <f>FugitiveEmissions!F58*FugitiveEmissions!$C$73*10^-5</f>
        <v>1.0551064211200001E-2</v>
      </c>
      <c r="H19" s="166">
        <f>FugitiveEmissions!G58*FugitiveEmissions!$C$73*10^-5</f>
        <v>1.08666437888E-2</v>
      </c>
      <c r="I19" s="166">
        <f>FugitiveEmissions!H58*FugitiveEmissions!$C$73*10^-5</f>
        <v>1.30292662272E-2</v>
      </c>
      <c r="J19" s="166">
        <f>FugitiveEmissions!I58*FugitiveEmissions!$C$73*10^-5</f>
        <v>1.3314565305600001E-2</v>
      </c>
      <c r="K19" s="166">
        <f>FugitiveEmissions!J58*FugitiveEmissions!$C$73*10^-5</f>
        <v>1.3796620038400001E-2</v>
      </c>
      <c r="L19" s="167">
        <f>FugitiveEmissions!K58*FugitiveEmissions!$C$73*10^-5</f>
        <v>1.4816626764800001E-2</v>
      </c>
    </row>
    <row r="20" spans="2:12">
      <c r="B20" s="176" t="s">
        <v>118</v>
      </c>
      <c r="C20" s="155" t="s">
        <v>121</v>
      </c>
      <c r="D20" s="166">
        <f t="shared" ref="D20:L20" si="3">D19*21</f>
        <v>0.1808540665344</v>
      </c>
      <c r="E20" s="166">
        <f t="shared" si="3"/>
        <v>0.18467650642560002</v>
      </c>
      <c r="F20" s="166">
        <f t="shared" si="3"/>
        <v>0.20801425491839998</v>
      </c>
      <c r="G20" s="166">
        <f t="shared" si="3"/>
        <v>0.22157234843520002</v>
      </c>
      <c r="H20" s="166">
        <f t="shared" si="3"/>
        <v>0.2281995195648</v>
      </c>
      <c r="I20" s="166">
        <f t="shared" si="3"/>
        <v>0.27361459077119998</v>
      </c>
      <c r="J20" s="166">
        <f t="shared" si="3"/>
        <v>0.27960587141760002</v>
      </c>
      <c r="K20" s="166">
        <f t="shared" si="3"/>
        <v>0.28972902080640001</v>
      </c>
      <c r="L20" s="167">
        <f t="shared" si="3"/>
        <v>0.31114916206080001</v>
      </c>
    </row>
    <row r="21" spans="2:12">
      <c r="B21" s="180" t="s">
        <v>131</v>
      </c>
      <c r="C21" s="155"/>
      <c r="D21" s="166">
        <f>FugitiveEmissions!C57</f>
        <v>33981</v>
      </c>
      <c r="E21" s="166">
        <f>FugitiveEmissions!D57</f>
        <v>32190</v>
      </c>
      <c r="F21" s="166">
        <f>FugitiveEmissions!E57</f>
        <v>33988</v>
      </c>
      <c r="G21" s="166">
        <f>FugitiveEmissions!F57</f>
        <v>34118</v>
      </c>
      <c r="H21" s="166">
        <f>FugitiveEmissions!G57</f>
        <v>33508</v>
      </c>
      <c r="I21" s="166">
        <f>FugitiveEmissions!H57</f>
        <v>33689.599999999999</v>
      </c>
      <c r="J21" s="166">
        <f>FugitiveEmissions!I57</f>
        <v>37684</v>
      </c>
      <c r="K21" s="166">
        <f>FugitiveEmissions!J57</f>
        <v>38089.5</v>
      </c>
      <c r="L21" s="167">
        <f>FugitiveEmissions!K57</f>
        <v>37862</v>
      </c>
    </row>
    <row r="22" spans="2:12">
      <c r="B22" s="180" t="s">
        <v>132</v>
      </c>
      <c r="C22" s="155"/>
      <c r="D22" s="166">
        <f>FugitiveEmissions!C60*0.76*48*0.0238845897</f>
        <v>27675.414201947329</v>
      </c>
      <c r="E22" s="166">
        <f>FugitiveEmissions!D60*0.76*48*0.0238845897</f>
        <v>28057.91921830771</v>
      </c>
      <c r="F22" s="166">
        <f>FugitiveEmissions!E60*0.76*48*0.0238845897</f>
        <v>27661.342548156394</v>
      </c>
      <c r="G22" s="166">
        <f>FugitiveEmissions!F60*0.76*48*0.0238845897</f>
        <v>28245.224692947781</v>
      </c>
      <c r="H22" s="166">
        <f>FugitiveEmissions!G60*0.76*48*0.0238845897</f>
        <v>28622.345014544826</v>
      </c>
      <c r="I22" s="166">
        <f>FugitiveEmissions!H60*0.76*48*0.0238845897</f>
        <v>41397.672750147081</v>
      </c>
      <c r="J22" s="166">
        <f>FugitiveEmissions!I60*0.76*48*0.0238845897</f>
        <v>45501.019274173486</v>
      </c>
      <c r="K22" s="166">
        <f>FugitiveEmissions!J60*0.76*48*0.0238845897</f>
        <v>41435.1826384257</v>
      </c>
      <c r="L22" s="167">
        <f>FugitiveEmissions!K60*0.76*48*0.0238845897</f>
        <v>35443.925535358598</v>
      </c>
    </row>
    <row r="23" spans="2:12">
      <c r="B23" s="180" t="s">
        <v>129</v>
      </c>
      <c r="C23" s="155"/>
      <c r="D23" s="166">
        <f>D21+D22</f>
        <v>61656.414201947329</v>
      </c>
      <c r="E23" s="166">
        <f t="shared" ref="E23:L23" si="4">E21+E22</f>
        <v>60247.91921830771</v>
      </c>
      <c r="F23" s="166">
        <f t="shared" si="4"/>
        <v>61649.34254815639</v>
      </c>
      <c r="G23" s="166">
        <f t="shared" si="4"/>
        <v>62363.224692947784</v>
      </c>
      <c r="H23" s="166">
        <f t="shared" si="4"/>
        <v>62130.34501454483</v>
      </c>
      <c r="I23" s="166">
        <f t="shared" si="4"/>
        <v>75087.27275014708</v>
      </c>
      <c r="J23" s="166">
        <f t="shared" si="4"/>
        <v>83185.019274173479</v>
      </c>
      <c r="K23" s="166">
        <f t="shared" si="4"/>
        <v>79524.6826384257</v>
      </c>
      <c r="L23" s="167">
        <f t="shared" si="4"/>
        <v>73305.925535358605</v>
      </c>
    </row>
    <row r="24" spans="2:12">
      <c r="B24" s="180" t="s">
        <v>130</v>
      </c>
      <c r="C24" s="155"/>
      <c r="D24" s="166">
        <f>FugitiveEmissions!C58*1000</f>
        <v>127416</v>
      </c>
      <c r="E24" s="166">
        <f>FugitiveEmissions!D58*1000</f>
        <v>130109.00000000001</v>
      </c>
      <c r="F24" s="166">
        <f>FugitiveEmissions!E58*1000</f>
        <v>146551</v>
      </c>
      <c r="G24" s="166">
        <f>FugitiveEmissions!F58*1000</f>
        <v>156103</v>
      </c>
      <c r="H24" s="166">
        <f>FugitiveEmissions!G58*1000</f>
        <v>160772</v>
      </c>
      <c r="I24" s="166">
        <f>FugitiveEmissions!H58*1000</f>
        <v>192768</v>
      </c>
      <c r="J24" s="166">
        <f>FugitiveEmissions!I58*1000</f>
        <v>196989</v>
      </c>
      <c r="K24" s="166">
        <f>FugitiveEmissions!J58*1000</f>
        <v>204121</v>
      </c>
      <c r="L24" s="167">
        <f>FugitiveEmissions!K58*1000</f>
        <v>219212</v>
      </c>
    </row>
    <row r="25" spans="2:12">
      <c r="B25" s="176" t="s">
        <v>135</v>
      </c>
      <c r="C25" s="155" t="s">
        <v>128</v>
      </c>
      <c r="D25" s="156">
        <f>FugitiveEmissions!C15*10^6</f>
        <v>62350000</v>
      </c>
      <c r="E25" s="156">
        <f>FugitiveEmissions!D15*10^6</f>
        <v>60970000</v>
      </c>
      <c r="F25" s="156">
        <f>FugitiveEmissions!E15*10^6</f>
        <v>57700000</v>
      </c>
      <c r="G25" s="156">
        <f>FugitiveEmissions!F15*10^6</f>
        <v>58900000</v>
      </c>
      <c r="H25" s="156">
        <f>FugitiveEmissions!G15*10^6</f>
        <v>58970000</v>
      </c>
      <c r="I25" s="156">
        <f>FugitiveEmissions!H15*10^6</f>
        <v>58520000</v>
      </c>
      <c r="J25" s="156">
        <f>FugitiveEmissions!I15*10^6</f>
        <v>54850000</v>
      </c>
      <c r="K25" s="156">
        <f>FugitiveEmissions!J15*10^6</f>
        <v>51960000</v>
      </c>
      <c r="L25" s="162">
        <f>FugitiveEmissions!K15*10^6</f>
        <v>52200000</v>
      </c>
    </row>
    <row r="26" spans="2:12">
      <c r="B26" s="176" t="s">
        <v>136</v>
      </c>
      <c r="C26" s="155" t="s">
        <v>128</v>
      </c>
      <c r="D26" s="156">
        <f>FugitiveEmissions!C16*10^6</f>
        <v>320260000</v>
      </c>
      <c r="E26" s="156">
        <f>FugitiveEmissions!D16*10^6</f>
        <v>346070000</v>
      </c>
      <c r="F26" s="156">
        <f>FugitiveEmissions!E16*10^6</f>
        <v>373130000</v>
      </c>
      <c r="G26" s="156">
        <f>FugitiveEmissions!F16*10^6</f>
        <v>398180000</v>
      </c>
      <c r="H26" s="156">
        <f>FugitiveEmissions!G16*10^6</f>
        <v>433780000</v>
      </c>
      <c r="I26" s="156">
        <f>FugitiveEmissions!H16*10^6</f>
        <v>473520000</v>
      </c>
      <c r="J26" s="156">
        <f>FugitiveEmissions!I16*10^6</f>
        <v>477840000</v>
      </c>
      <c r="K26" s="156">
        <f>FugitiveEmissions!J16*10^6</f>
        <v>487990000</v>
      </c>
      <c r="L26" s="162">
        <f>FugitiveEmissions!K16*10^6</f>
        <v>504190000</v>
      </c>
    </row>
    <row r="27" spans="2:12">
      <c r="B27" s="176" t="s">
        <v>137</v>
      </c>
      <c r="C27" s="155" t="s">
        <v>139</v>
      </c>
      <c r="D27" s="191">
        <f>FugitiveEmissions!C15/FugitiveEmissions!C14</f>
        <v>0.16295967172839182</v>
      </c>
      <c r="E27" s="191">
        <f>FugitiveEmissions!D15/FugitiveEmissions!D14</f>
        <v>0.1497887185534591</v>
      </c>
      <c r="F27" s="191">
        <f>FugitiveEmissions!E15/FugitiveEmissions!E14</f>
        <v>0.13392442670132765</v>
      </c>
      <c r="G27" s="191">
        <f>FugitiveEmissions!F15/FugitiveEmissions!F14</f>
        <v>0.12886146845191213</v>
      </c>
      <c r="H27" s="191">
        <f>FugitiveEmissions!G15/FugitiveEmissions!G14</f>
        <v>0.11991621929396454</v>
      </c>
      <c r="I27" s="191">
        <f>FugitiveEmissions!H15/FugitiveEmissions!H14</f>
        <v>0.10999172994511693</v>
      </c>
      <c r="J27" s="191">
        <f>FugitiveEmissions!I15/FugitiveEmissions!I14</f>
        <v>0.10296795509583434</v>
      </c>
      <c r="K27" s="191">
        <f>FugitiveEmissions!J15/FugitiveEmissions!J14</f>
        <v>9.6232914768307587E-2</v>
      </c>
      <c r="L27" s="192">
        <f>FugitiveEmissions!K15/FugitiveEmissions!K14</f>
        <v>9.3817397555715318E-2</v>
      </c>
    </row>
    <row r="28" spans="2:12">
      <c r="B28" s="176" t="s">
        <v>138</v>
      </c>
      <c r="C28" s="155" t="s">
        <v>139</v>
      </c>
      <c r="D28" s="191">
        <f>FugitiveEmissions!C16/FugitiveEmissions!C14</f>
        <v>0.83704032827160813</v>
      </c>
      <c r="E28" s="191">
        <f>FugitiveEmissions!D16/FugitiveEmissions!D14</f>
        <v>0.85021128144654079</v>
      </c>
      <c r="F28" s="191">
        <f>FugitiveEmissions!E16/FugitiveEmissions!E14</f>
        <v>0.8660523628261072</v>
      </c>
      <c r="G28" s="191">
        <f>FugitiveEmissions!F16/FugitiveEmissions!F14</f>
        <v>0.87113853154808796</v>
      </c>
      <c r="H28" s="191">
        <f>FugitiveEmissions!G16/FugitiveEmissions!G14</f>
        <v>0.88209695786562548</v>
      </c>
      <c r="I28" s="191">
        <f>FugitiveEmissions!H16/FugitiveEmissions!H14</f>
        <v>0.89000827005488314</v>
      </c>
      <c r="J28" s="191">
        <f>FugitiveEmissions!I16/FugitiveEmissions!I14</f>
        <v>0.89703204490416555</v>
      </c>
      <c r="K28" s="191">
        <f>FugitiveEmissions!J16/FugitiveEmissions!J14</f>
        <v>0.90378560580805267</v>
      </c>
      <c r="L28" s="192">
        <f>FugitiveEmissions!K16/FugitiveEmissions!K14</f>
        <v>0.90616462976276069</v>
      </c>
    </row>
    <row r="29" spans="2:12">
      <c r="B29" s="176" t="s">
        <v>152</v>
      </c>
      <c r="C29" s="155" t="s">
        <v>154</v>
      </c>
      <c r="D29" s="168">
        <f>SUM(FugitiveEmissions!C33:C35)</f>
        <v>815.4070650000001</v>
      </c>
      <c r="E29" s="168">
        <f>SUM(FugitiveEmissions!D33:D35)</f>
        <v>797.35956299999998</v>
      </c>
      <c r="F29" s="168">
        <f>SUM(FugitiveEmissions!E33:E35)</f>
        <v>754.59483</v>
      </c>
      <c r="G29" s="168">
        <f>SUM(FugitiveEmissions!F33:F35)</f>
        <v>770.28831000000014</v>
      </c>
      <c r="H29" s="168">
        <f>SUM(FugitiveEmissions!G33:G35)</f>
        <v>771.20376299999998</v>
      </c>
      <c r="I29" s="168">
        <f>SUM(FugitiveEmissions!H33:H35)</f>
        <v>765.31870800000013</v>
      </c>
      <c r="J29" s="168">
        <f>SUM(FugitiveEmissions!I33:I35)</f>
        <v>717.32281499999999</v>
      </c>
      <c r="K29" s="168">
        <f>SUM(FugitiveEmissions!J33:J35)</f>
        <v>679.52768400000014</v>
      </c>
      <c r="L29" s="179">
        <f>SUM(FugitiveEmissions!K33:K35)</f>
        <v>682.66638000000012</v>
      </c>
    </row>
    <row r="30" spans="2:12">
      <c r="B30" s="176" t="s">
        <v>155</v>
      </c>
      <c r="C30" s="155" t="s">
        <v>154</v>
      </c>
      <c r="D30" s="168">
        <f>FugitiveEmissions!C37</f>
        <v>377.90679999999998</v>
      </c>
      <c r="E30" s="168">
        <f>FugitiveEmissions!D37</f>
        <v>408.36259999999999</v>
      </c>
      <c r="F30" s="168">
        <f>FugitiveEmissions!E37</f>
        <v>440.29339999999996</v>
      </c>
      <c r="G30" s="168">
        <f>FugitiveEmissions!F37</f>
        <v>469.85239999999999</v>
      </c>
      <c r="H30" s="168">
        <f>FugitiveEmissions!G37</f>
        <v>511.86039999999991</v>
      </c>
      <c r="I30" s="168">
        <f>FugitiveEmissions!H37</f>
        <v>558.75360000000001</v>
      </c>
      <c r="J30" s="168">
        <f>FugitiveEmissions!I37</f>
        <v>563.85119999999995</v>
      </c>
      <c r="K30" s="168">
        <f>FugitiveEmissions!J37</f>
        <v>575.82819999999992</v>
      </c>
      <c r="L30" s="179">
        <f>FugitiveEmissions!K37</f>
        <v>594.94419999999991</v>
      </c>
    </row>
    <row r="31" spans="2:12">
      <c r="B31" s="176" t="s">
        <v>156</v>
      </c>
      <c r="C31" s="155" t="s">
        <v>154</v>
      </c>
      <c r="D31" s="168">
        <f>SUM(FugitiveEmissions!C41:C43)</f>
        <v>128.59687500000001</v>
      </c>
      <c r="E31" s="168">
        <f>SUM(FugitiveEmissions!D41:D43)</f>
        <v>125.75062500000001</v>
      </c>
      <c r="F31" s="168">
        <f>SUM(FugitiveEmissions!E41:E43)</f>
        <v>119.00625000000001</v>
      </c>
      <c r="G31" s="168">
        <f>SUM(FugitiveEmissions!F41:F43)</f>
        <v>121.48125</v>
      </c>
      <c r="H31" s="168">
        <f>SUM(FugitiveEmissions!G41:G43)</f>
        <v>121.62562500000001</v>
      </c>
      <c r="I31" s="168">
        <f>SUM(FugitiveEmissions!H41:H43)</f>
        <v>120.69750000000002</v>
      </c>
      <c r="J31" s="168">
        <f>SUM(FugitiveEmissions!I41:I43)</f>
        <v>113.12812500000001</v>
      </c>
      <c r="K31" s="168">
        <f>SUM(FugitiveEmissions!J41:J43)</f>
        <v>107.16750000000002</v>
      </c>
      <c r="L31" s="179">
        <f>SUM(FugitiveEmissions!K41:K43)</f>
        <v>107.66250000000002</v>
      </c>
    </row>
    <row r="32" spans="2:12">
      <c r="B32" s="176" t="s">
        <v>153</v>
      </c>
      <c r="C32" s="155" t="s">
        <v>154</v>
      </c>
      <c r="D32" s="168">
        <f>FugitiveEmissions!C45</f>
        <v>48.038999999999994</v>
      </c>
      <c r="E32" s="168">
        <f>FugitiveEmissions!D45</f>
        <v>51.910499999999999</v>
      </c>
      <c r="F32" s="168">
        <f>FugitiveEmissions!E45</f>
        <v>55.969499999999996</v>
      </c>
      <c r="G32" s="168">
        <f>FugitiveEmissions!F45</f>
        <v>59.726999999999997</v>
      </c>
      <c r="H32" s="168">
        <f>FugitiveEmissions!G45</f>
        <v>65.066999999999993</v>
      </c>
      <c r="I32" s="168">
        <f>FugitiveEmissions!H45</f>
        <v>71.027999999999992</v>
      </c>
      <c r="J32" s="168">
        <f>FugitiveEmissions!I45</f>
        <v>71.675999999999988</v>
      </c>
      <c r="K32" s="168">
        <f>FugitiveEmissions!J45</f>
        <v>73.198499999999996</v>
      </c>
      <c r="L32" s="179">
        <f>FugitiveEmissions!K45</f>
        <v>75.628500000000003</v>
      </c>
    </row>
    <row r="33" spans="1:12">
      <c r="B33" s="176" t="s">
        <v>145</v>
      </c>
      <c r="C33" s="155"/>
      <c r="D33" s="168">
        <f>FugitiveEmissions!C61</f>
        <v>30775</v>
      </c>
      <c r="E33" s="168">
        <f>FugitiveEmissions!D61</f>
        <v>31325</v>
      </c>
      <c r="F33" s="168">
        <f>FugitiveEmissions!E61</f>
        <v>30791.439999999999</v>
      </c>
      <c r="G33" s="168">
        <f>FugitiveEmissions!F61</f>
        <v>31479</v>
      </c>
      <c r="H33" s="168">
        <f>FugitiveEmissions!G61</f>
        <v>31746</v>
      </c>
      <c r="I33" s="168">
        <f>FugitiveEmissions!H61</f>
        <v>46521</v>
      </c>
      <c r="J33" s="168">
        <f>FugitiveEmissions!I61</f>
        <v>51248</v>
      </c>
      <c r="K33" s="168">
        <f>FugitiveEmissions!J61</f>
        <v>46482</v>
      </c>
      <c r="L33" s="179">
        <f>FugitiveEmissions!K61</f>
        <v>39777</v>
      </c>
    </row>
    <row r="34" spans="1:12">
      <c r="B34" s="176" t="s">
        <v>143</v>
      </c>
      <c r="C34" s="155"/>
      <c r="D34" s="168">
        <f>FugitiveEmissions!C62</f>
        <v>988</v>
      </c>
      <c r="E34" s="168">
        <f>FugitiveEmissions!D62</f>
        <v>877</v>
      </c>
      <c r="F34" s="168">
        <f>FugitiveEmissions!E62</f>
        <v>956</v>
      </c>
      <c r="G34" s="168">
        <f>FugitiveEmissions!F62</f>
        <v>938</v>
      </c>
      <c r="H34" s="168">
        <f>FugitiveEmissions!G62</f>
        <v>1098.8</v>
      </c>
      <c r="I34" s="168">
        <f>FugitiveEmissions!H62</f>
        <v>974.89</v>
      </c>
      <c r="J34" s="168">
        <f>FugitiveEmissions!I62</f>
        <v>967.74</v>
      </c>
      <c r="K34" s="168">
        <f>FugitiveEmissions!J62</f>
        <v>1077.2</v>
      </c>
      <c r="L34" s="179">
        <f>FugitiveEmissions!K62</f>
        <v>902.42</v>
      </c>
    </row>
    <row r="35" spans="1:12" ht="16.5" thickBot="1">
      <c r="B35" s="182" t="s">
        <v>144</v>
      </c>
      <c r="C35" s="178"/>
      <c r="D35" s="169">
        <f>FugitiveEmissions!C65</f>
        <v>524.08950000000004</v>
      </c>
      <c r="E35" s="169">
        <f>FugitiveEmissions!D65</f>
        <v>531.33299999999997</v>
      </c>
      <c r="F35" s="169">
        <f>FugitiveEmissions!E65</f>
        <v>523.82302500000003</v>
      </c>
      <c r="G35" s="169">
        <f>FugitiveEmissions!F65</f>
        <v>534.8800050000001</v>
      </c>
      <c r="H35" s="169">
        <f>FugitiveEmissions!G65</f>
        <v>542.02153500000009</v>
      </c>
      <c r="I35" s="169">
        <f>FugitiveEmissions!H65</f>
        <v>783.94800000000009</v>
      </c>
      <c r="J35" s="169">
        <f>FugitiveEmissions!I65</f>
        <v>861.65310000000011</v>
      </c>
      <c r="K35" s="169">
        <f>FugitiveEmissions!J65</f>
        <v>784.6583250000001</v>
      </c>
      <c r="L35" s="193">
        <f>FugitiveEmissions!K65</f>
        <v>671.20185000000004</v>
      </c>
    </row>
    <row r="36" spans="1:12">
      <c r="D36" s="104"/>
      <c r="E36" s="104"/>
      <c r="F36" s="104"/>
      <c r="G36" s="104"/>
      <c r="H36" s="104"/>
      <c r="I36" s="104"/>
      <c r="J36" s="104"/>
      <c r="K36" s="104"/>
      <c r="L36" s="104"/>
    </row>
    <row r="37" spans="1:12">
      <c r="D37" s="104"/>
      <c r="E37" s="104"/>
      <c r="F37" s="105"/>
      <c r="G37" s="104"/>
      <c r="H37" s="104"/>
      <c r="I37" s="104"/>
      <c r="J37" s="104"/>
      <c r="K37" s="104"/>
      <c r="L37" s="104"/>
    </row>
    <row r="38" spans="1:12">
      <c r="D38" s="104"/>
      <c r="E38" s="104"/>
      <c r="F38" s="105"/>
      <c r="G38" s="104"/>
      <c r="H38" s="104"/>
      <c r="I38" s="104"/>
      <c r="J38" s="104"/>
      <c r="K38" s="104"/>
      <c r="L38" s="104"/>
    </row>
    <row r="39" spans="1:12">
      <c r="B39" s="102"/>
    </row>
    <row r="40" spans="1:12">
      <c r="A40" s="63" t="s">
        <v>124</v>
      </c>
    </row>
    <row r="41" spans="1:12" ht="16.5" thickBot="1">
      <c r="C41" s="103"/>
      <c r="D41" s="103"/>
      <c r="E41" s="103"/>
      <c r="F41" s="103"/>
      <c r="G41" s="103"/>
      <c r="H41" s="103"/>
      <c r="I41" s="103"/>
      <c r="J41" s="103"/>
      <c r="K41" s="103"/>
      <c r="L41" s="103"/>
    </row>
    <row r="42" spans="1:12">
      <c r="C42" s="184" t="s">
        <v>122</v>
      </c>
      <c r="D42" s="142"/>
      <c r="E42" s="142"/>
      <c r="F42" s="142">
        <v>2007</v>
      </c>
      <c r="G42" s="142">
        <v>2008</v>
      </c>
      <c r="H42" s="142">
        <v>2009</v>
      </c>
      <c r="I42" s="142">
        <v>2010</v>
      </c>
      <c r="J42" s="142">
        <v>2011</v>
      </c>
      <c r="K42" s="143">
        <v>2012</v>
      </c>
      <c r="L42" s="93"/>
    </row>
    <row r="43" spans="1:12">
      <c r="C43" s="176" t="s">
        <v>73</v>
      </c>
      <c r="D43" s="183"/>
      <c r="E43" s="183"/>
      <c r="F43" s="166">
        <f t="shared" ref="F43:F50" si="5">(F3*3/4+G3/4)</f>
        <v>34020.5</v>
      </c>
      <c r="G43" s="166">
        <f t="shared" ref="G43:K43" si="6">(G3*3/4+H3/4)</f>
        <v>33965.5</v>
      </c>
      <c r="H43" s="166">
        <f t="shared" si="6"/>
        <v>33553.4</v>
      </c>
      <c r="I43" s="166">
        <f t="shared" si="6"/>
        <v>34688.199999999997</v>
      </c>
      <c r="J43" s="166">
        <f t="shared" si="6"/>
        <v>37785.375</v>
      </c>
      <c r="K43" s="167">
        <f t="shared" si="6"/>
        <v>38032.625</v>
      </c>
      <c r="L43" s="106"/>
    </row>
    <row r="44" spans="1:12">
      <c r="C44" s="176" t="s">
        <v>84</v>
      </c>
      <c r="D44" s="183"/>
      <c r="E44" s="183"/>
      <c r="F44" s="166">
        <f t="shared" si="5"/>
        <v>148.93899999999999</v>
      </c>
      <c r="G44" s="166">
        <f t="shared" ref="G44:K50" si="7">(G4*3/4+H4/4)</f>
        <v>157.27025</v>
      </c>
      <c r="H44" s="166">
        <f t="shared" si="7"/>
        <v>168.77099999999999</v>
      </c>
      <c r="I44" s="166">
        <f t="shared" si="7"/>
        <v>193.82325</v>
      </c>
      <c r="J44" s="166">
        <f t="shared" si="7"/>
        <v>198.77199999999999</v>
      </c>
      <c r="K44" s="167">
        <f t="shared" si="7"/>
        <v>207.89375000000001</v>
      </c>
      <c r="L44" s="106"/>
    </row>
    <row r="45" spans="1:12">
      <c r="C45" s="176" t="s">
        <v>61</v>
      </c>
      <c r="D45" s="183"/>
      <c r="E45" s="183"/>
      <c r="F45" s="166">
        <f t="shared" si="5"/>
        <v>435.5</v>
      </c>
      <c r="G45" s="166">
        <f t="shared" si="7"/>
        <v>499</v>
      </c>
      <c r="H45" s="166">
        <f t="shared" si="7"/>
        <v>526</v>
      </c>
      <c r="I45" s="166">
        <f t="shared" si="7"/>
        <v>596</v>
      </c>
      <c r="J45" s="166">
        <f t="shared" si="7"/>
        <v>616</v>
      </c>
      <c r="K45" s="167">
        <f t="shared" si="7"/>
        <v>604.25</v>
      </c>
      <c r="L45" s="106"/>
    </row>
    <row r="46" spans="1:12">
      <c r="C46" s="176" t="s">
        <v>74</v>
      </c>
      <c r="D46" s="183"/>
      <c r="E46" s="183"/>
      <c r="F46" s="166">
        <f t="shared" si="5"/>
        <v>31914.379999999997</v>
      </c>
      <c r="G46" s="166">
        <f t="shared" si="7"/>
        <v>32525.175000000003</v>
      </c>
      <c r="H46" s="166">
        <f t="shared" si="7"/>
        <v>36515.342499999999</v>
      </c>
      <c r="I46" s="166">
        <f t="shared" si="7"/>
        <v>48689.35</v>
      </c>
      <c r="J46" s="166">
        <f t="shared" si="7"/>
        <v>51054.8125</v>
      </c>
      <c r="K46" s="167">
        <f t="shared" si="7"/>
        <v>45836.012500000004</v>
      </c>
      <c r="L46" s="106"/>
    </row>
    <row r="47" spans="1:12">
      <c r="C47" s="176" t="s">
        <v>88</v>
      </c>
      <c r="D47" s="183"/>
      <c r="E47" s="183"/>
      <c r="F47" s="166">
        <f t="shared" si="5"/>
        <v>30963.329999999998</v>
      </c>
      <c r="G47" s="166">
        <f t="shared" si="7"/>
        <v>31545.75</v>
      </c>
      <c r="H47" s="166">
        <f t="shared" si="7"/>
        <v>35439.75</v>
      </c>
      <c r="I47" s="166">
        <f t="shared" si="7"/>
        <v>47702.75</v>
      </c>
      <c r="J47" s="166">
        <f t="shared" si="7"/>
        <v>50056.5</v>
      </c>
      <c r="K47" s="167">
        <f t="shared" si="7"/>
        <v>44805.75</v>
      </c>
      <c r="L47" s="106"/>
    </row>
    <row r="48" spans="1:12">
      <c r="C48" s="176" t="s">
        <v>89</v>
      </c>
      <c r="D48" s="183"/>
      <c r="E48" s="183"/>
      <c r="F48" s="166">
        <f t="shared" si="5"/>
        <v>951.5</v>
      </c>
      <c r="G48" s="166">
        <f t="shared" si="7"/>
        <v>978.2</v>
      </c>
      <c r="H48" s="166">
        <f t="shared" si="7"/>
        <v>1067.8225</v>
      </c>
      <c r="I48" s="166">
        <f t="shared" si="7"/>
        <v>973.10249999999996</v>
      </c>
      <c r="J48" s="166">
        <f t="shared" si="7"/>
        <v>995.10500000000002</v>
      </c>
      <c r="K48" s="167">
        <f t="shared" si="7"/>
        <v>1033.5050000000001</v>
      </c>
      <c r="L48" s="106"/>
    </row>
    <row r="49" spans="2:15">
      <c r="C49" s="176" t="s">
        <v>101</v>
      </c>
      <c r="D49" s="183"/>
      <c r="E49" s="183"/>
      <c r="F49" s="166">
        <f t="shared" si="5"/>
        <v>26836.414599999996</v>
      </c>
      <c r="G49" s="166">
        <f t="shared" si="7"/>
        <v>27001.5</v>
      </c>
      <c r="H49" s="166">
        <f t="shared" si="7"/>
        <v>30514.75</v>
      </c>
      <c r="I49" s="166">
        <f t="shared" si="7"/>
        <v>42155.25</v>
      </c>
      <c r="J49" s="166">
        <f t="shared" si="7"/>
        <v>44820.75</v>
      </c>
      <c r="K49" s="167">
        <f t="shared" si="7"/>
        <v>39463.75</v>
      </c>
      <c r="L49" s="106"/>
    </row>
    <row r="50" spans="2:15" ht="16.5" thickBot="1">
      <c r="C50" s="182" t="s">
        <v>90</v>
      </c>
      <c r="D50" s="185"/>
      <c r="E50" s="185"/>
      <c r="F50" s="170">
        <f t="shared" si="5"/>
        <v>526.58726999999999</v>
      </c>
      <c r="G50" s="170">
        <f t="shared" si="7"/>
        <v>536.66538750000018</v>
      </c>
      <c r="H50" s="170">
        <f t="shared" si="7"/>
        <v>602.50315125000009</v>
      </c>
      <c r="I50" s="170">
        <f t="shared" si="7"/>
        <v>803.37427500000001</v>
      </c>
      <c r="J50" s="170">
        <f t="shared" si="7"/>
        <v>842.40440625000019</v>
      </c>
      <c r="K50" s="171">
        <f t="shared" si="7"/>
        <v>756.29420625</v>
      </c>
      <c r="L50" s="106"/>
    </row>
    <row r="51" spans="2:15" ht="16.5" thickBot="1">
      <c r="C51" s="108"/>
      <c r="D51" s="99"/>
      <c r="E51" s="99"/>
      <c r="F51" s="100"/>
      <c r="G51" s="100"/>
      <c r="H51" s="100"/>
      <c r="I51" s="100"/>
      <c r="J51" s="100"/>
      <c r="K51" s="100"/>
      <c r="L51" s="106"/>
    </row>
    <row r="52" spans="2:15">
      <c r="B52" s="266" t="s">
        <v>133</v>
      </c>
      <c r="C52" s="267"/>
      <c r="D52" s="267"/>
      <c r="E52" s="267"/>
      <c r="F52" s="267"/>
      <c r="G52" s="267"/>
      <c r="H52" s="267"/>
      <c r="I52" s="267"/>
      <c r="J52" s="267"/>
      <c r="K52" s="268"/>
      <c r="L52" s="109"/>
    </row>
    <row r="53" spans="2:15">
      <c r="B53" s="176" t="s">
        <v>117</v>
      </c>
      <c r="C53" s="155" t="s">
        <v>125</v>
      </c>
      <c r="D53" s="155"/>
      <c r="E53" s="155"/>
      <c r="F53" s="166">
        <f t="shared" ref="F53:K54" si="8">(F13*3/4+G13/4)*1000</f>
        <v>11362.847</v>
      </c>
      <c r="G53" s="166">
        <f t="shared" si="8"/>
        <v>11344.476999999999</v>
      </c>
      <c r="H53" s="166">
        <f t="shared" si="8"/>
        <v>11206.8356</v>
      </c>
      <c r="I53" s="166">
        <f t="shared" si="8"/>
        <v>11585.858799999998</v>
      </c>
      <c r="J53" s="166">
        <f t="shared" si="8"/>
        <v>12620.315250000001</v>
      </c>
      <c r="K53" s="167">
        <f t="shared" si="8"/>
        <v>12702.896749999998</v>
      </c>
      <c r="L53" s="102"/>
      <c r="N53" s="102"/>
    </row>
    <row r="54" spans="2:15">
      <c r="B54" s="176" t="s">
        <v>126</v>
      </c>
      <c r="C54" s="155" t="s">
        <v>125</v>
      </c>
      <c r="D54" s="155"/>
      <c r="E54" s="155"/>
      <c r="F54" s="166">
        <f t="shared" si="8"/>
        <v>238619.78699999998</v>
      </c>
      <c r="G54" s="166">
        <f t="shared" si="8"/>
        <v>238234.01699999999</v>
      </c>
      <c r="H54" s="166">
        <f t="shared" si="8"/>
        <v>235343.54759999996</v>
      </c>
      <c r="I54" s="166">
        <f t="shared" si="8"/>
        <v>243303.03479999996</v>
      </c>
      <c r="J54" s="166">
        <f t="shared" si="8"/>
        <v>265026.62025000004</v>
      </c>
      <c r="K54" s="167">
        <f t="shared" si="8"/>
        <v>266760.83174999995</v>
      </c>
      <c r="L54" s="102"/>
      <c r="O54" s="102"/>
    </row>
    <row r="55" spans="2:15">
      <c r="B55" s="176" t="s">
        <v>127</v>
      </c>
      <c r="C55" s="155" t="s">
        <v>125</v>
      </c>
      <c r="D55" s="155"/>
      <c r="E55" s="155"/>
      <c r="F55" s="166">
        <f t="shared" ref="F55:K55" si="9">F53*5</f>
        <v>56814.235000000001</v>
      </c>
      <c r="G55" s="166">
        <f t="shared" si="9"/>
        <v>56722.384999999995</v>
      </c>
      <c r="H55" s="166">
        <f t="shared" si="9"/>
        <v>56034.178</v>
      </c>
      <c r="I55" s="166">
        <f t="shared" si="9"/>
        <v>57929.293999999994</v>
      </c>
      <c r="J55" s="166">
        <f t="shared" si="9"/>
        <v>63101.576250000006</v>
      </c>
      <c r="K55" s="167">
        <f t="shared" si="9"/>
        <v>63514.483749999992</v>
      </c>
      <c r="L55" s="102"/>
    </row>
    <row r="56" spans="2:15">
      <c r="B56" s="176" t="s">
        <v>117</v>
      </c>
      <c r="C56" s="155" t="s">
        <v>119</v>
      </c>
      <c r="D56" s="155"/>
      <c r="E56" s="155"/>
      <c r="F56" s="166">
        <f t="shared" ref="F56:K57" si="10">(F15*3/4+G15/4)*1000</f>
        <v>113487.53528</v>
      </c>
      <c r="G56" s="166">
        <f t="shared" si="10"/>
        <v>115659.52230000001</v>
      </c>
      <c r="H56" s="166">
        <f t="shared" si="10"/>
        <v>129848.55793000002</v>
      </c>
      <c r="I56" s="166">
        <f t="shared" si="10"/>
        <v>173139.32860000001</v>
      </c>
      <c r="J56" s="166">
        <f t="shared" si="10"/>
        <v>181550.91325000001</v>
      </c>
      <c r="K56" s="167">
        <f t="shared" si="10"/>
        <v>162992.86045000004</v>
      </c>
      <c r="L56" s="102"/>
    </row>
    <row r="57" spans="2:15">
      <c r="B57" s="176" t="s">
        <v>126</v>
      </c>
      <c r="C57" s="155" t="s">
        <v>119</v>
      </c>
      <c r="D57" s="155"/>
      <c r="E57" s="155"/>
      <c r="F57" s="166">
        <f t="shared" si="10"/>
        <v>2383238.2408799999</v>
      </c>
      <c r="G57" s="166">
        <f t="shared" si="10"/>
        <v>2428849.9682999998</v>
      </c>
      <c r="H57" s="166">
        <f t="shared" si="10"/>
        <v>2726819.7165300003</v>
      </c>
      <c r="I57" s="166">
        <f t="shared" si="10"/>
        <v>3635925.9006000003</v>
      </c>
      <c r="J57" s="166">
        <f t="shared" si="10"/>
        <v>3812569.1782500003</v>
      </c>
      <c r="K57" s="167">
        <f t="shared" si="10"/>
        <v>3422850.0694500003</v>
      </c>
      <c r="L57" s="102"/>
    </row>
    <row r="58" spans="2:15">
      <c r="B58" s="176" t="s">
        <v>127</v>
      </c>
      <c r="C58" s="155" t="s">
        <v>119</v>
      </c>
      <c r="D58" s="155"/>
      <c r="E58" s="155"/>
      <c r="F58" s="166">
        <f t="shared" ref="F58:K58" si="11">F56*5</f>
        <v>567437.6764</v>
      </c>
      <c r="G58" s="166">
        <f t="shared" si="11"/>
        <v>578297.61150000012</v>
      </c>
      <c r="H58" s="166">
        <f t="shared" si="11"/>
        <v>649242.78965000017</v>
      </c>
      <c r="I58" s="166">
        <f t="shared" si="11"/>
        <v>865696.64300000004</v>
      </c>
      <c r="J58" s="166">
        <f t="shared" si="11"/>
        <v>907754.56625000003</v>
      </c>
      <c r="K58" s="167">
        <f t="shared" si="11"/>
        <v>814964.30225000018</v>
      </c>
      <c r="L58" s="102"/>
    </row>
    <row r="59" spans="2:15">
      <c r="B59" s="176" t="s">
        <v>117</v>
      </c>
      <c r="C59" s="155" t="s">
        <v>120</v>
      </c>
      <c r="D59" s="155"/>
      <c r="E59" s="155"/>
      <c r="F59" s="166">
        <f t="shared" ref="F59:K60" si="12">(F17*3/4+G17/4)*1000</f>
        <v>286264.03453819995</v>
      </c>
      <c r="G59" s="166">
        <f t="shared" si="12"/>
        <v>288025.00049999997</v>
      </c>
      <c r="H59" s="166">
        <f t="shared" si="12"/>
        <v>325500.83825000003</v>
      </c>
      <c r="I59" s="166">
        <f t="shared" si="12"/>
        <v>449670.05175000004</v>
      </c>
      <c r="J59" s="166">
        <f t="shared" si="12"/>
        <v>478102.94024999999</v>
      </c>
      <c r="K59" s="167">
        <f t="shared" si="12"/>
        <v>420959.82124999998</v>
      </c>
      <c r="L59" s="102"/>
    </row>
    <row r="60" spans="2:15">
      <c r="B60" s="176" t="s">
        <v>126</v>
      </c>
      <c r="C60" s="155" t="s">
        <v>120</v>
      </c>
      <c r="D60" s="155"/>
      <c r="E60" s="155"/>
      <c r="F60" s="166">
        <f t="shared" si="12"/>
        <v>6011544.7253021989</v>
      </c>
      <c r="G60" s="166">
        <f t="shared" si="12"/>
        <v>6048525.0104999999</v>
      </c>
      <c r="H60" s="166">
        <f t="shared" si="12"/>
        <v>6835517.6032499997</v>
      </c>
      <c r="I60" s="166">
        <f t="shared" si="12"/>
        <v>9443071.0867500007</v>
      </c>
      <c r="J60" s="166">
        <f t="shared" si="12"/>
        <v>10040161.74525</v>
      </c>
      <c r="K60" s="167">
        <f t="shared" si="12"/>
        <v>8840156.2462499999</v>
      </c>
      <c r="L60" s="102"/>
    </row>
    <row r="61" spans="2:15">
      <c r="B61" s="176" t="s">
        <v>127</v>
      </c>
      <c r="C61" s="155" t="s">
        <v>120</v>
      </c>
      <c r="D61" s="155"/>
      <c r="E61" s="155"/>
      <c r="F61" s="166">
        <f t="shared" ref="F61:K61" si="13">F59*5</f>
        <v>1431320.1726909997</v>
      </c>
      <c r="G61" s="166">
        <f t="shared" si="13"/>
        <v>1440125.0024999999</v>
      </c>
      <c r="H61" s="166">
        <f t="shared" si="13"/>
        <v>1627504.1912500001</v>
      </c>
      <c r="I61" s="166">
        <f t="shared" si="13"/>
        <v>2248350.25875</v>
      </c>
      <c r="J61" s="166">
        <f t="shared" si="13"/>
        <v>2390514.7012499999</v>
      </c>
      <c r="K61" s="167">
        <f t="shared" si="13"/>
        <v>2104799.1062499997</v>
      </c>
      <c r="L61" s="102"/>
    </row>
    <row r="62" spans="2:15">
      <c r="B62" s="176" t="s">
        <v>117</v>
      </c>
      <c r="C62" s="155" t="s">
        <v>121</v>
      </c>
      <c r="D62" s="155"/>
      <c r="E62" s="155"/>
      <c r="F62" s="166">
        <f t="shared" ref="F62:K63" si="14">(F19*3/4+G19/4)*1000</f>
        <v>10.0668465856</v>
      </c>
      <c r="G62" s="166">
        <f t="shared" si="14"/>
        <v>10.629959105600001</v>
      </c>
      <c r="H62" s="166">
        <f t="shared" si="14"/>
        <v>11.407299398399999</v>
      </c>
      <c r="I62" s="166">
        <f t="shared" si="14"/>
        <v>13.100590996799999</v>
      </c>
      <c r="J62" s="166">
        <f t="shared" si="14"/>
        <v>13.435078988799999</v>
      </c>
      <c r="K62" s="167">
        <f t="shared" si="14"/>
        <v>14.05162172</v>
      </c>
      <c r="L62" s="102"/>
    </row>
    <row r="63" spans="2:15">
      <c r="B63" s="176" t="s">
        <v>126</v>
      </c>
      <c r="C63" s="155" t="s">
        <v>121</v>
      </c>
      <c r="D63" s="155"/>
      <c r="E63" s="155"/>
      <c r="F63" s="166">
        <f t="shared" si="14"/>
        <v>211.40377829759998</v>
      </c>
      <c r="G63" s="166">
        <f t="shared" si="14"/>
        <v>223.22914121760002</v>
      </c>
      <c r="H63" s="166">
        <f t="shared" si="14"/>
        <v>239.55328736639999</v>
      </c>
      <c r="I63" s="166">
        <f t="shared" si="14"/>
        <v>275.1124109328</v>
      </c>
      <c r="J63" s="166">
        <f t="shared" si="14"/>
        <v>282.13665876480002</v>
      </c>
      <c r="K63" s="167">
        <f t="shared" si="14"/>
        <v>295.08405612000001</v>
      </c>
      <c r="L63" s="102"/>
    </row>
    <row r="64" spans="2:15">
      <c r="B64" s="176" t="s">
        <v>127</v>
      </c>
      <c r="C64" s="155" t="s">
        <v>121</v>
      </c>
      <c r="D64" s="155"/>
      <c r="E64" s="155"/>
      <c r="F64" s="166">
        <f t="shared" ref="F64:K64" si="15">F62*5</f>
        <v>50.334232928000006</v>
      </c>
      <c r="G64" s="166">
        <f t="shared" si="15"/>
        <v>53.149795528000006</v>
      </c>
      <c r="H64" s="166">
        <f t="shared" si="15"/>
        <v>57.036496991999996</v>
      </c>
      <c r="I64" s="166">
        <f t="shared" si="15"/>
        <v>65.502954983999999</v>
      </c>
      <c r="J64" s="166">
        <f t="shared" si="15"/>
        <v>67.17539494399999</v>
      </c>
      <c r="K64" s="167">
        <f t="shared" si="15"/>
        <v>70.2581086</v>
      </c>
    </row>
    <row r="65" spans="2:11">
      <c r="B65" s="176" t="s">
        <v>117</v>
      </c>
      <c r="C65" s="155" t="s">
        <v>134</v>
      </c>
      <c r="D65" s="155"/>
      <c r="E65" s="155"/>
      <c r="F65" s="166">
        <f t="shared" ref="F65:K67" si="16">F53+F56</f>
        <v>124850.38227999999</v>
      </c>
      <c r="G65" s="166">
        <f t="shared" si="16"/>
        <v>127003.99930000001</v>
      </c>
      <c r="H65" s="166">
        <f t="shared" si="16"/>
        <v>141055.39353000003</v>
      </c>
      <c r="I65" s="166">
        <f t="shared" si="16"/>
        <v>184725.1874</v>
      </c>
      <c r="J65" s="166">
        <f t="shared" si="16"/>
        <v>194171.22850000003</v>
      </c>
      <c r="K65" s="167">
        <f t="shared" si="16"/>
        <v>175695.75720000002</v>
      </c>
    </row>
    <row r="66" spans="2:11">
      <c r="B66" s="176" t="s">
        <v>126</v>
      </c>
      <c r="C66" s="155" t="s">
        <v>134</v>
      </c>
      <c r="D66" s="155"/>
      <c r="E66" s="155"/>
      <c r="F66" s="166">
        <f t="shared" si="16"/>
        <v>2621858.02788</v>
      </c>
      <c r="G66" s="166">
        <f t="shared" si="16"/>
        <v>2667083.9852999998</v>
      </c>
      <c r="H66" s="166">
        <f t="shared" si="16"/>
        <v>2962163.2641300005</v>
      </c>
      <c r="I66" s="166">
        <f t="shared" si="16"/>
        <v>3879228.9354000003</v>
      </c>
      <c r="J66" s="166">
        <f t="shared" si="16"/>
        <v>4077595.7985000005</v>
      </c>
      <c r="K66" s="167">
        <f t="shared" si="16"/>
        <v>3689610.9012000002</v>
      </c>
    </row>
    <row r="67" spans="2:11">
      <c r="B67" s="176" t="s">
        <v>127</v>
      </c>
      <c r="C67" s="155" t="s">
        <v>134</v>
      </c>
      <c r="D67" s="155"/>
      <c r="E67" s="155"/>
      <c r="F67" s="166">
        <f t="shared" si="16"/>
        <v>624251.91139999998</v>
      </c>
      <c r="G67" s="166">
        <f t="shared" si="16"/>
        <v>635019.99650000012</v>
      </c>
      <c r="H67" s="166">
        <f t="shared" si="16"/>
        <v>705276.96765000012</v>
      </c>
      <c r="I67" s="166">
        <f t="shared" si="16"/>
        <v>923625.93700000003</v>
      </c>
      <c r="J67" s="166">
        <f t="shared" si="16"/>
        <v>970856.14250000007</v>
      </c>
      <c r="K67" s="167">
        <f t="shared" si="16"/>
        <v>878478.7860000002</v>
      </c>
    </row>
    <row r="68" spans="2:11">
      <c r="B68" s="176" t="s">
        <v>117</v>
      </c>
      <c r="C68" s="155" t="s">
        <v>128</v>
      </c>
      <c r="D68" s="155"/>
      <c r="E68" s="155"/>
      <c r="F68" s="166">
        <f>FugitiveEmissions!C50*10^3</f>
        <v>931.83981314800008</v>
      </c>
      <c r="G68" s="166">
        <f>FugitiveEmissions!D50*10^3</f>
        <v>940.9773124976</v>
      </c>
      <c r="H68" s="166">
        <f>FugitiveEmissions!E50*10^3</f>
        <v>931.78147919600008</v>
      </c>
      <c r="I68" s="166">
        <f>FugitiveEmissions!F50*10^3</f>
        <v>966.8015625920001</v>
      </c>
      <c r="J68" s="166">
        <f>FugitiveEmissions!G50*10^3</f>
        <v>999.72856719760011</v>
      </c>
      <c r="K68" s="167">
        <f>FugitiveEmissions!H50*10^3</f>
        <v>1031.0456690016001</v>
      </c>
    </row>
    <row r="69" spans="2:11">
      <c r="B69" s="176" t="s">
        <v>126</v>
      </c>
      <c r="C69" s="155" t="s">
        <v>128</v>
      </c>
      <c r="D69" s="155"/>
      <c r="E69" s="155"/>
      <c r="F69" s="166">
        <f>FugitiveEmissions!C53*10^3</f>
        <v>19568.636076108003</v>
      </c>
      <c r="G69" s="166">
        <f>FugitiveEmissions!D53*10^3</f>
        <v>19760.523562449598</v>
      </c>
      <c r="H69" s="166">
        <f>FugitiveEmissions!E53*10^3</f>
        <v>19567.411063116</v>
      </c>
      <c r="I69" s="166">
        <f>FugitiveEmissions!F53*10^3</f>
        <v>20302.832814432</v>
      </c>
      <c r="J69" s="166">
        <f>FugitiveEmissions!G53*10^3</f>
        <v>20994.299911149599</v>
      </c>
      <c r="K69" s="167">
        <f>FugitiveEmissions!H53*10^3</f>
        <v>21651.959049033605</v>
      </c>
    </row>
    <row r="70" spans="2:11">
      <c r="B70" s="176" t="s">
        <v>127</v>
      </c>
      <c r="C70" s="155" t="s">
        <v>128</v>
      </c>
      <c r="D70" s="155"/>
      <c r="E70" s="155"/>
      <c r="F70" s="166">
        <f t="shared" ref="F70:K70" si="17">F68*5</f>
        <v>4659.1990657400002</v>
      </c>
      <c r="G70" s="166">
        <f t="shared" si="17"/>
        <v>4704.886562488</v>
      </c>
      <c r="H70" s="166">
        <f t="shared" si="17"/>
        <v>4658.9073959800007</v>
      </c>
      <c r="I70" s="166">
        <f t="shared" si="17"/>
        <v>4834.0078129600006</v>
      </c>
      <c r="J70" s="166">
        <f t="shared" si="17"/>
        <v>4998.642835988001</v>
      </c>
      <c r="K70" s="167">
        <f t="shared" si="17"/>
        <v>5155.2283450080004</v>
      </c>
    </row>
    <row r="71" spans="2:11">
      <c r="B71" s="176" t="s">
        <v>135</v>
      </c>
      <c r="C71" s="155" t="s">
        <v>128</v>
      </c>
      <c r="D71" s="155"/>
      <c r="E71" s="155"/>
      <c r="F71" s="166">
        <f>F25*3/4+G25/4</f>
        <v>58000000</v>
      </c>
      <c r="G71" s="166">
        <f t="shared" ref="F71:K72" si="18">G25*3/4+H25/4</f>
        <v>58917500</v>
      </c>
      <c r="H71" s="166">
        <f t="shared" si="18"/>
        <v>58857500</v>
      </c>
      <c r="I71" s="166">
        <f t="shared" si="18"/>
        <v>57602500</v>
      </c>
      <c r="J71" s="166">
        <f t="shared" si="18"/>
        <v>54127500</v>
      </c>
      <c r="K71" s="167">
        <f t="shared" si="18"/>
        <v>52020000</v>
      </c>
    </row>
    <row r="72" spans="2:11">
      <c r="B72" s="176" t="s">
        <v>136</v>
      </c>
      <c r="C72" s="155" t="s">
        <v>128</v>
      </c>
      <c r="D72" s="155"/>
      <c r="E72" s="155"/>
      <c r="F72" s="166">
        <f t="shared" si="18"/>
        <v>379392500</v>
      </c>
      <c r="G72" s="166">
        <f t="shared" si="18"/>
        <v>407080000</v>
      </c>
      <c r="H72" s="166">
        <f t="shared" si="18"/>
        <v>443715000</v>
      </c>
      <c r="I72" s="166">
        <f t="shared" si="18"/>
        <v>474600000</v>
      </c>
      <c r="J72" s="166">
        <f t="shared" si="18"/>
        <v>480377500</v>
      </c>
      <c r="K72" s="167">
        <f t="shared" si="18"/>
        <v>492040000</v>
      </c>
    </row>
    <row r="73" spans="2:11">
      <c r="B73" s="176" t="s">
        <v>137</v>
      </c>
      <c r="C73" s="155" t="s">
        <v>139</v>
      </c>
      <c r="D73" s="155"/>
      <c r="E73" s="155"/>
      <c r="F73" s="168">
        <f t="shared" ref="F73:K74" si="19">F27*3/4+G27/4</f>
        <v>0.13265868713897377</v>
      </c>
      <c r="G73" s="168">
        <f t="shared" si="19"/>
        <v>0.12662515616242523</v>
      </c>
      <c r="H73" s="168">
        <f t="shared" si="19"/>
        <v>0.11743509695675262</v>
      </c>
      <c r="I73" s="168">
        <f t="shared" si="19"/>
        <v>0.10823578623279628</v>
      </c>
      <c r="J73" s="168">
        <f t="shared" si="19"/>
        <v>0.10128419501395265</v>
      </c>
      <c r="K73" s="179">
        <f t="shared" si="19"/>
        <v>9.5629035465159523E-2</v>
      </c>
    </row>
    <row r="74" spans="2:11">
      <c r="B74" s="176" t="s">
        <v>138</v>
      </c>
      <c r="C74" s="155" t="s">
        <v>139</v>
      </c>
      <c r="D74" s="155"/>
      <c r="E74" s="155"/>
      <c r="F74" s="168">
        <f t="shared" si="19"/>
        <v>0.86732390500660239</v>
      </c>
      <c r="G74" s="168">
        <f t="shared" si="19"/>
        <v>0.87387813812747228</v>
      </c>
      <c r="H74" s="168">
        <f t="shared" si="19"/>
        <v>0.88407478591293986</v>
      </c>
      <c r="I74" s="168">
        <f t="shared" si="19"/>
        <v>0.89176421376720372</v>
      </c>
      <c r="J74" s="168">
        <f t="shared" si="19"/>
        <v>0.89872043513013733</v>
      </c>
      <c r="K74" s="179">
        <f t="shared" si="19"/>
        <v>0.90438036179672965</v>
      </c>
    </row>
    <row r="75" spans="2:11">
      <c r="B75" s="176" t="s">
        <v>140</v>
      </c>
      <c r="C75" s="155" t="s">
        <v>142</v>
      </c>
      <c r="D75" s="155"/>
      <c r="E75" s="155"/>
      <c r="F75" s="166">
        <f>AVERAGE(FugitiveEmissions!$E$21:$E$23)</f>
        <v>13.21</v>
      </c>
      <c r="G75" s="166">
        <f>AVERAGE(FugitiveEmissions!$E$21:$E$23)</f>
        <v>13.21</v>
      </c>
      <c r="H75" s="166">
        <f>AVERAGE(FugitiveEmissions!$E$21:$E$23)</f>
        <v>13.21</v>
      </c>
      <c r="I75" s="166">
        <f>AVERAGE(FugitiveEmissions!$E$21:$E$23)</f>
        <v>13.21</v>
      </c>
      <c r="J75" s="166">
        <f>AVERAGE(FugitiveEmissions!$E$21:$E$23)</f>
        <v>13.21</v>
      </c>
      <c r="K75" s="167">
        <f>AVERAGE(FugitiveEmissions!$E$21:$E$23)</f>
        <v>13.21</v>
      </c>
    </row>
    <row r="76" spans="2:11">
      <c r="B76" s="176" t="s">
        <v>141</v>
      </c>
      <c r="C76" s="155" t="s">
        <v>142</v>
      </c>
      <c r="D76" s="155"/>
      <c r="E76" s="155"/>
      <c r="F76" s="166">
        <f>AVERAGE(FugitiveEmissions!$E$24:$E$26)</f>
        <v>2.0833333333333335</v>
      </c>
      <c r="G76" s="166">
        <f>AVERAGE(FugitiveEmissions!$E$24:$E$26)</f>
        <v>2.0833333333333335</v>
      </c>
      <c r="H76" s="166">
        <f>AVERAGE(FugitiveEmissions!$E$24:$E$26)</f>
        <v>2.0833333333333335</v>
      </c>
      <c r="I76" s="166">
        <f>AVERAGE(FugitiveEmissions!$E$24:$E$26)</f>
        <v>2.0833333333333335</v>
      </c>
      <c r="J76" s="166">
        <f>AVERAGE(FugitiveEmissions!$E$24:$E$26)</f>
        <v>2.0833333333333335</v>
      </c>
      <c r="K76" s="167">
        <f>AVERAGE(FugitiveEmissions!$E$24:$E$26)</f>
        <v>2.0833333333333335</v>
      </c>
    </row>
    <row r="77" spans="2:11">
      <c r="B77" s="176" t="s">
        <v>138</v>
      </c>
      <c r="C77" s="155" t="s">
        <v>142</v>
      </c>
      <c r="D77" s="155"/>
      <c r="E77" s="155"/>
      <c r="F77" s="166">
        <f>AVERAGE(FugitiveEmissions!$E$27:$E$28)</f>
        <v>0.66499999999999992</v>
      </c>
      <c r="G77" s="166">
        <f>AVERAGE(FugitiveEmissions!$E$27:$E$28)</f>
        <v>0.66499999999999992</v>
      </c>
      <c r="H77" s="166">
        <f>AVERAGE(FugitiveEmissions!$E$27:$E$28)</f>
        <v>0.66499999999999992</v>
      </c>
      <c r="I77" s="166">
        <f>AVERAGE(FugitiveEmissions!$E$27:$E$28)</f>
        <v>0.66499999999999992</v>
      </c>
      <c r="J77" s="166">
        <f>AVERAGE(FugitiveEmissions!$E$27:$E$28)</f>
        <v>0.66499999999999992</v>
      </c>
      <c r="K77" s="167">
        <f>AVERAGE(FugitiveEmissions!$E$27:$E$28)</f>
        <v>0.66499999999999992</v>
      </c>
    </row>
    <row r="78" spans="2:11">
      <c r="B78" s="180" t="s">
        <v>129</v>
      </c>
      <c r="C78" s="155"/>
      <c r="D78" s="155"/>
      <c r="E78" s="155"/>
      <c r="F78" s="166">
        <f t="shared" ref="F78:K79" si="20">F23*3/4+G23/4</f>
        <v>61827.813084354239</v>
      </c>
      <c r="G78" s="166">
        <f t="shared" si="20"/>
        <v>62305.004773347042</v>
      </c>
      <c r="H78" s="166">
        <f t="shared" si="20"/>
        <v>65369.576948445392</v>
      </c>
      <c r="I78" s="166">
        <f t="shared" si="20"/>
        <v>77111.709381153676</v>
      </c>
      <c r="J78" s="166">
        <f t="shared" si="20"/>
        <v>82269.935115236527</v>
      </c>
      <c r="K78" s="167">
        <f t="shared" si="20"/>
        <v>77969.993362658919</v>
      </c>
    </row>
    <row r="79" spans="2:11">
      <c r="B79" s="180" t="s">
        <v>130</v>
      </c>
      <c r="C79" s="155"/>
      <c r="D79" s="155"/>
      <c r="E79" s="155"/>
      <c r="F79" s="166">
        <f t="shared" si="20"/>
        <v>148939</v>
      </c>
      <c r="G79" s="166">
        <f t="shared" si="20"/>
        <v>157270.25</v>
      </c>
      <c r="H79" s="166">
        <f t="shared" si="20"/>
        <v>168771</v>
      </c>
      <c r="I79" s="166">
        <f t="shared" si="20"/>
        <v>193823.25</v>
      </c>
      <c r="J79" s="166">
        <f t="shared" si="20"/>
        <v>198772</v>
      </c>
      <c r="K79" s="167">
        <f t="shared" si="20"/>
        <v>207893.75</v>
      </c>
    </row>
    <row r="80" spans="2:11">
      <c r="B80" s="176" t="s">
        <v>145</v>
      </c>
      <c r="C80" s="155"/>
      <c r="D80" s="155"/>
      <c r="E80" s="155"/>
      <c r="F80" s="166">
        <f t="shared" ref="F80:K80" si="21">F33*3/4+G33/4</f>
        <v>30963.329999999998</v>
      </c>
      <c r="G80" s="166">
        <f t="shared" si="21"/>
        <v>31545.75</v>
      </c>
      <c r="H80" s="166">
        <f t="shared" si="21"/>
        <v>35439.75</v>
      </c>
      <c r="I80" s="166">
        <f t="shared" si="21"/>
        <v>47702.75</v>
      </c>
      <c r="J80" s="166">
        <f t="shared" si="21"/>
        <v>50056.5</v>
      </c>
      <c r="K80" s="167">
        <f t="shared" si="21"/>
        <v>44805.75</v>
      </c>
    </row>
    <row r="81" spans="2:11">
      <c r="B81" s="176" t="s">
        <v>143</v>
      </c>
      <c r="C81" s="155"/>
      <c r="D81" s="155"/>
      <c r="E81" s="155"/>
      <c r="F81" s="166">
        <f t="shared" ref="F81:K81" si="22">F34*3/4+G34/4</f>
        <v>951.5</v>
      </c>
      <c r="G81" s="166">
        <f t="shared" si="22"/>
        <v>978.2</v>
      </c>
      <c r="H81" s="166">
        <f t="shared" si="22"/>
        <v>1067.8225</v>
      </c>
      <c r="I81" s="166">
        <f t="shared" si="22"/>
        <v>973.10249999999996</v>
      </c>
      <c r="J81" s="166">
        <f t="shared" si="22"/>
        <v>995.10500000000002</v>
      </c>
      <c r="K81" s="167">
        <f t="shared" si="22"/>
        <v>1033.5050000000001</v>
      </c>
    </row>
    <row r="82" spans="2:11">
      <c r="B82" s="181" t="s">
        <v>144</v>
      </c>
      <c r="C82" s="155"/>
      <c r="D82" s="155"/>
      <c r="E82" s="155"/>
      <c r="F82" s="166">
        <f t="shared" ref="F82:K82" si="23">F35*3/4+G35/4</f>
        <v>526.58726999999999</v>
      </c>
      <c r="G82" s="166">
        <f t="shared" si="23"/>
        <v>536.66538750000018</v>
      </c>
      <c r="H82" s="166">
        <f t="shared" si="23"/>
        <v>602.50315125000009</v>
      </c>
      <c r="I82" s="166">
        <f t="shared" si="23"/>
        <v>803.37427500000001</v>
      </c>
      <c r="J82" s="166">
        <f t="shared" si="23"/>
        <v>842.40440625000019</v>
      </c>
      <c r="K82" s="167">
        <f t="shared" si="23"/>
        <v>756.29420625</v>
      </c>
    </row>
    <row r="83" spans="2:11">
      <c r="B83" s="176" t="s">
        <v>146</v>
      </c>
      <c r="C83" s="155" t="s">
        <v>149</v>
      </c>
      <c r="D83" s="155"/>
      <c r="E83" s="155"/>
      <c r="F83" s="166">
        <f>F80*FugitiveEmissions!$C$75*1000</f>
        <v>330285.84110999998</v>
      </c>
      <c r="G83" s="166">
        <f>G80*FugitiveEmissions!$C$75*1000</f>
        <v>336498.51525</v>
      </c>
      <c r="H83" s="166">
        <f>H80*FugitiveEmissions!$C$75*1000</f>
        <v>378035.81325000001</v>
      </c>
      <c r="I83" s="166">
        <f>I80*FugitiveEmissions!$C$75*1000</f>
        <v>508845.23424999998</v>
      </c>
      <c r="J83" s="166">
        <f>J80*FugitiveEmissions!$C$75*1000</f>
        <v>533952.68549999991</v>
      </c>
      <c r="K83" s="167">
        <f>K80*FugitiveEmissions!$C$75*1000</f>
        <v>477942.93524999992</v>
      </c>
    </row>
    <row r="84" spans="2:11">
      <c r="B84" s="176" t="s">
        <v>147</v>
      </c>
      <c r="C84" s="155" t="s">
        <v>149</v>
      </c>
      <c r="D84" s="155"/>
      <c r="E84" s="155"/>
      <c r="F84" s="166">
        <f>F81*FugitiveEmissions!$C$78*1000</f>
        <v>609.91149999999993</v>
      </c>
      <c r="G84" s="166">
        <f>G81*FugitiveEmissions!$C$78*1000</f>
        <v>627.02620000000002</v>
      </c>
      <c r="H84" s="166">
        <f>H81*FugitiveEmissions!$C$78*1000</f>
        <v>684.4742225</v>
      </c>
      <c r="I84" s="166">
        <f>I81*FugitiveEmissions!$C$78*1000</f>
        <v>623.75870250000003</v>
      </c>
      <c r="J84" s="166">
        <f>J81*FugitiveEmissions!$C$78*1000</f>
        <v>637.86230499999999</v>
      </c>
      <c r="K84" s="167">
        <f>K81*FugitiveEmissions!$C$78*1000</f>
        <v>662.47670500000004</v>
      </c>
    </row>
    <row r="85" spans="2:11" ht="16.5" thickBot="1">
      <c r="B85" s="182" t="s">
        <v>148</v>
      </c>
      <c r="C85" s="178" t="s">
        <v>149</v>
      </c>
      <c r="D85" s="178"/>
      <c r="E85" s="178"/>
      <c r="F85" s="170">
        <f>F82*FugitiveEmissions!$C$77*1000</f>
        <v>3413.3386841399997</v>
      </c>
      <c r="G85" s="170">
        <f>G82*FugitiveEmissions!$C$77*1000</f>
        <v>3478.6650417750011</v>
      </c>
      <c r="H85" s="170">
        <f>H82*FugitiveEmissions!$C$77*1000</f>
        <v>3905.4254264025008</v>
      </c>
      <c r="I85" s="170">
        <f>I82*FugitiveEmissions!$C$77*1000</f>
        <v>5207.4720505499999</v>
      </c>
      <c r="J85" s="170">
        <f>J82*FugitiveEmissions!$C$77*1000</f>
        <v>5460.465361312501</v>
      </c>
      <c r="K85" s="171">
        <f>K82*FugitiveEmissions!$C$77*1000</f>
        <v>4902.2990449125</v>
      </c>
    </row>
  </sheetData>
  <mergeCells count="2">
    <mergeCell ref="B12:L12"/>
    <mergeCell ref="B52:K52"/>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Introduction</vt:lpstr>
      <vt:lpstr>Description</vt:lpstr>
      <vt:lpstr>Final Results</vt:lpstr>
      <vt:lpstr>FugitiveEmissions</vt:lpstr>
      <vt:lpstr>Coal - Raw Data</vt:lpstr>
      <vt:lpstr>OilandGas- Raw Data</vt:lpstr>
      <vt:lpstr>Calculations</vt:lpstr>
      <vt:lpstr>FugitiveEmissions!Print_Area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murali</dc:creator>
  <cp:lastModifiedBy>PRIYA</cp:lastModifiedBy>
  <cp:lastPrinted>2016-06-22T07:05:17Z</cp:lastPrinted>
  <dcterms:created xsi:type="dcterms:W3CDTF">2016-02-09T05:47:40Z</dcterms:created>
  <dcterms:modified xsi:type="dcterms:W3CDTF">2019-09-11T06:52:41Z</dcterms:modified>
</cp:coreProperties>
</file>