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showInkAnnotation="0" autoCompressPictures="0" defaultThemeVersion="124226"/>
  <xr:revisionPtr revIDLastSave="0" documentId="13_ncr:1_{0195D977-959F-475B-9717-6201532D21DB}" xr6:coauthVersionLast="44" xr6:coauthVersionMax="44" xr10:uidLastSave="{00000000-0000-0000-0000-000000000000}"/>
  <bookViews>
    <workbookView xWindow="-120" yWindow="-120" windowWidth="20730" windowHeight="11160" tabRatio="765" xr2:uid="{00000000-000D-0000-FFFF-FFFF00000000}"/>
  </bookViews>
  <sheets>
    <sheet name="Introduction" sheetId="7" r:id="rId1"/>
    <sheet name="Description" sheetId="8" r:id="rId2"/>
    <sheet name="Final Results" sheetId="6" r:id="rId3"/>
    <sheet name="Summary" sheetId="4" r:id="rId4"/>
    <sheet name="Raw Data" sheetId="1" r:id="rId5"/>
    <sheet name="Factors and Conversions" sheetId="2" r:id="rId6"/>
    <sheet name="Activity &amp; Emissions" sheetId="3" r:id="rId7"/>
    <sheet name="Calculations" sheetId="5" r:id="rId8"/>
  </sheets>
  <definedNames>
    <definedName name="_xlnm._FilterDatabase" localSheetId="2" hidden="1">'Final Results'!$A$1:$N$51</definedName>
  </definedNames>
  <calcPr calcId="18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D20" i="3" l="1"/>
  <c r="E20" i="3"/>
  <c r="M20" i="3" s="1"/>
  <c r="I32" i="5"/>
  <c r="Q32" i="5"/>
  <c r="Y32" i="5"/>
  <c r="I33" i="5"/>
  <c r="Q33" i="5"/>
  <c r="Y33" i="5"/>
  <c r="I34" i="5"/>
  <c r="Q34" i="5"/>
  <c r="Y34" i="5"/>
  <c r="I35" i="5"/>
  <c r="Q35" i="5"/>
  <c r="Y35" i="5"/>
  <c r="I36" i="5"/>
  <c r="Q36" i="5"/>
  <c r="Y36" i="5"/>
  <c r="I37" i="5"/>
  <c r="Q37" i="5"/>
  <c r="Y37" i="5"/>
  <c r="I38" i="5"/>
  <c r="Q38" i="5"/>
  <c r="Y38" i="5"/>
  <c r="AG33" i="5"/>
  <c r="AG35" i="5"/>
  <c r="AG37" i="5"/>
  <c r="AG34" i="5"/>
  <c r="AG38" i="5"/>
  <c r="AG32" i="5"/>
  <c r="I5" i="3"/>
  <c r="I21" i="3" s="1"/>
  <c r="H21" i="3"/>
  <c r="H22" i="3"/>
  <c r="H24" i="3"/>
  <c r="AM8" i="5" s="1"/>
  <c r="I8" i="3"/>
  <c r="I24" i="3" s="1"/>
  <c r="H25" i="3"/>
  <c r="H26" i="3"/>
  <c r="AM10" i="5" s="1"/>
  <c r="H27" i="3"/>
  <c r="H28" i="3"/>
  <c r="H30" i="3"/>
  <c r="I6" i="3"/>
  <c r="I22" i="3" s="1"/>
  <c r="I7" i="3"/>
  <c r="C15" i="2"/>
  <c r="H29" i="3" s="1"/>
  <c r="I9" i="3"/>
  <c r="I25" i="3" s="1"/>
  <c r="I10" i="3"/>
  <c r="I11" i="3"/>
  <c r="I26" i="3" s="1"/>
  <c r="AN10" i="5" s="1"/>
  <c r="J26" i="3"/>
  <c r="AO10" i="5" s="1"/>
  <c r="I12" i="3"/>
  <c r="I27" i="3" s="1"/>
  <c r="I13" i="3"/>
  <c r="I28" i="3" s="1"/>
  <c r="I14" i="3"/>
  <c r="I15" i="3"/>
  <c r="I16" i="3"/>
  <c r="I30" i="3" s="1"/>
  <c r="I17" i="3"/>
  <c r="I4" i="3"/>
  <c r="I20" i="3" s="1"/>
  <c r="AG36" i="5"/>
  <c r="E22" i="3"/>
  <c r="F22" i="3"/>
  <c r="N22" i="3" s="1"/>
  <c r="E6" i="5" s="1"/>
  <c r="G22" i="3"/>
  <c r="J22" i="3"/>
  <c r="R22" i="3" s="1"/>
  <c r="I6" i="5" s="1"/>
  <c r="D22" i="3"/>
  <c r="AI6" i="5" s="1"/>
  <c r="E30" i="3"/>
  <c r="AC30" i="3" s="1"/>
  <c r="T14" i="5" s="1"/>
  <c r="F30" i="3"/>
  <c r="V30" i="3" s="1"/>
  <c r="M14" i="5" s="1"/>
  <c r="L29" i="5" s="1"/>
  <c r="G30" i="3"/>
  <c r="P30" i="3"/>
  <c r="G14" i="5" s="1"/>
  <c r="J30" i="3"/>
  <c r="AH30" i="3" s="1"/>
  <c r="Y14" i="5" s="1"/>
  <c r="D30" i="3"/>
  <c r="B15" i="2"/>
  <c r="D21" i="3"/>
  <c r="AI5" i="5" s="1"/>
  <c r="E21" i="3"/>
  <c r="AJ14" i="5"/>
  <c r="E28" i="3"/>
  <c r="M28" i="3" s="1"/>
  <c r="F28" i="3"/>
  <c r="G28" i="3"/>
  <c r="J28" i="3"/>
  <c r="D28" i="3"/>
  <c r="AI12" i="5" s="1"/>
  <c r="J21" i="3"/>
  <c r="F21" i="3"/>
  <c r="G21" i="3"/>
  <c r="E23" i="3"/>
  <c r="F23" i="3"/>
  <c r="D23" i="3"/>
  <c r="G23" i="3"/>
  <c r="G5" i="4"/>
  <c r="D27" i="3"/>
  <c r="E27" i="3"/>
  <c r="AJ11" i="5" s="1"/>
  <c r="U30" i="3"/>
  <c r="L14" i="5" s="1"/>
  <c r="X30" i="3"/>
  <c r="O14" i="5" s="1"/>
  <c r="F27" i="3"/>
  <c r="G27" i="3"/>
  <c r="AL11" i="5" s="1"/>
  <c r="J27" i="3"/>
  <c r="O28" i="3"/>
  <c r="E26" i="3"/>
  <c r="F26" i="3"/>
  <c r="G26" i="3"/>
  <c r="AE26" i="3" s="1"/>
  <c r="D26" i="3"/>
  <c r="AB26" i="3" s="1"/>
  <c r="P26" i="3"/>
  <c r="G10" i="5" s="1"/>
  <c r="G25" i="5" s="1"/>
  <c r="X26" i="3"/>
  <c r="O10" i="5" s="1"/>
  <c r="AF26" i="3"/>
  <c r="E25" i="3"/>
  <c r="F25" i="3"/>
  <c r="AK9" i="5" s="1"/>
  <c r="G25" i="3"/>
  <c r="O25" i="3" s="1"/>
  <c r="F65" i="3" s="1"/>
  <c r="F77" i="3" s="1"/>
  <c r="J25" i="3"/>
  <c r="R25" i="3" s="1"/>
  <c r="E24" i="3"/>
  <c r="F24" i="3"/>
  <c r="AK8" i="5" s="1"/>
  <c r="G24" i="3"/>
  <c r="J24" i="3"/>
  <c r="AO8" i="5" s="1"/>
  <c r="D25" i="3"/>
  <c r="D24" i="3"/>
  <c r="N21" i="3"/>
  <c r="E5" i="5" s="1"/>
  <c r="AJ4" i="5"/>
  <c r="F20" i="3"/>
  <c r="AK4" i="5"/>
  <c r="AJ19" i="5" s="1"/>
  <c r="AJ32" i="5" s="1"/>
  <c r="G20" i="3"/>
  <c r="H20" i="3"/>
  <c r="J20" i="3"/>
  <c r="V21" i="1"/>
  <c r="I44" i="3"/>
  <c r="I48" i="3" s="1"/>
  <c r="I52" i="3" s="1"/>
  <c r="R52" i="3" s="1"/>
  <c r="I70" i="3" s="1"/>
  <c r="H44" i="3"/>
  <c r="H48" i="3" s="1"/>
  <c r="G44" i="3"/>
  <c r="G48" i="3"/>
  <c r="G52" i="3" s="1"/>
  <c r="X52" i="3" s="1"/>
  <c r="O70" i="3" s="1"/>
  <c r="F44" i="3"/>
  <c r="F48" i="3" s="1"/>
  <c r="F52" i="3" s="1"/>
  <c r="E44" i="3"/>
  <c r="E48" i="3" s="1"/>
  <c r="E52" i="3" s="1"/>
  <c r="D44" i="3"/>
  <c r="D48" i="3" s="1"/>
  <c r="D52" i="3" s="1"/>
  <c r="C44" i="3"/>
  <c r="C48" i="3" s="1"/>
  <c r="C52" i="3" s="1"/>
  <c r="D46" i="3"/>
  <c r="D50" i="3" s="1"/>
  <c r="E46" i="3"/>
  <c r="E50" i="3" s="1"/>
  <c r="F46" i="3"/>
  <c r="F50" i="3" s="1"/>
  <c r="G46" i="3"/>
  <c r="G50" i="3" s="1"/>
  <c r="AM43" i="5" s="1"/>
  <c r="I46" i="3"/>
  <c r="I50" i="3" s="1"/>
  <c r="C46" i="3"/>
  <c r="C50" i="3" s="1"/>
  <c r="H43" i="3"/>
  <c r="H47" i="3" s="1"/>
  <c r="I43" i="3"/>
  <c r="I47" i="3" s="1"/>
  <c r="I51" i="3" s="1"/>
  <c r="D43" i="3"/>
  <c r="D47" i="3" s="1"/>
  <c r="D51" i="3" s="1"/>
  <c r="U51" i="3" s="1"/>
  <c r="E43" i="3"/>
  <c r="E47" i="3" s="1"/>
  <c r="E51" i="3" s="1"/>
  <c r="F43" i="3"/>
  <c r="F47" i="3" s="1"/>
  <c r="F51" i="3" s="1"/>
  <c r="G43" i="3"/>
  <c r="G47" i="3" s="1"/>
  <c r="G51" i="3" s="1"/>
  <c r="AM44" i="5" s="1"/>
  <c r="C43" i="3"/>
  <c r="C47" i="3" s="1"/>
  <c r="C51" i="3" s="1"/>
  <c r="C28" i="1"/>
  <c r="L24" i="3"/>
  <c r="C8" i="5" s="1"/>
  <c r="G29" i="3"/>
  <c r="E29" i="3"/>
  <c r="J29" i="3"/>
  <c r="F29" i="3"/>
  <c r="N23" i="3"/>
  <c r="M29" i="3"/>
  <c r="D13" i="5" s="1"/>
  <c r="O47" i="1"/>
  <c r="P47" i="1"/>
  <c r="N26" i="1"/>
  <c r="P26" i="1" s="1"/>
  <c r="R26" i="1" s="1"/>
  <c r="T26" i="1" s="1"/>
  <c r="V26" i="1" s="1"/>
  <c r="N25" i="1"/>
  <c r="P25" i="1" s="1"/>
  <c r="R25" i="1" s="1"/>
  <c r="T25" i="1" s="1"/>
  <c r="V25" i="1" s="1"/>
  <c r="O46" i="1"/>
  <c r="P46" i="1"/>
  <c r="T24" i="1"/>
  <c r="V24" i="1" s="1"/>
  <c r="N24" i="1"/>
  <c r="P24" i="1" s="1"/>
  <c r="P45" i="1"/>
  <c r="O45" i="1"/>
  <c r="P44" i="1"/>
  <c r="M44" i="1"/>
  <c r="O44" i="1" s="1"/>
  <c r="N23" i="1"/>
  <c r="P23" i="1" s="1"/>
  <c r="R23" i="1" s="1"/>
  <c r="T23" i="1" s="1"/>
  <c r="V23" i="1" s="1"/>
  <c r="N22" i="1"/>
  <c r="P22" i="1" s="1"/>
  <c r="R22" i="1" s="1"/>
  <c r="T22" i="1" s="1"/>
  <c r="V22" i="1" s="1"/>
  <c r="P43" i="1"/>
  <c r="M43" i="1"/>
  <c r="O43" i="1" s="1"/>
  <c r="G12" i="1"/>
  <c r="B12" i="1"/>
  <c r="P20" i="1"/>
  <c r="R20" i="1" s="1"/>
  <c r="T20" i="1" s="1"/>
  <c r="V20" i="1" s="1"/>
  <c r="P41" i="1"/>
  <c r="M41" i="1"/>
  <c r="O41" i="1" s="1"/>
  <c r="AJ44" i="5"/>
  <c r="AK43" i="5"/>
  <c r="N50" i="3"/>
  <c r="E68" i="3" s="1"/>
  <c r="AE51" i="3"/>
  <c r="V69" i="3" s="1"/>
  <c r="M25" i="3"/>
  <c r="AJ9" i="5"/>
  <c r="W26" i="3"/>
  <c r="N10" i="5" s="1"/>
  <c r="N25" i="5" s="1"/>
  <c r="AN4" i="5"/>
  <c r="AN11" i="5"/>
  <c r="AI10" i="5"/>
  <c r="Y26" i="3"/>
  <c r="Q26" i="3"/>
  <c r="H10" i="5" s="1"/>
  <c r="AG26" i="3"/>
  <c r="X10" i="5" s="1"/>
  <c r="AM5" i="5"/>
  <c r="D29" i="3"/>
  <c r="AI13" i="5" s="1"/>
  <c r="H23" i="3"/>
  <c r="AM7" i="5" s="1"/>
  <c r="I29" i="3"/>
  <c r="AN13" i="5" s="1"/>
  <c r="L50" i="3"/>
  <c r="L25" i="3"/>
  <c r="C9" i="5" s="1"/>
  <c r="AK5" i="5"/>
  <c r="AO12" i="5"/>
  <c r="R28" i="3"/>
  <c r="I12" i="5" s="1"/>
  <c r="L26" i="3"/>
  <c r="C10" i="5" s="1"/>
  <c r="AK6" i="5"/>
  <c r="AK14" i="5" l="1"/>
  <c r="AJ29" i="5" s="1"/>
  <c r="Z26" i="3"/>
  <c r="Q66" i="3" s="1"/>
  <c r="Q78" i="3" s="1"/>
  <c r="AH26" i="3"/>
  <c r="Y10" i="5" s="1"/>
  <c r="R26" i="3"/>
  <c r="I10" i="5" s="1"/>
  <c r="H25" i="5" s="1"/>
  <c r="X25" i="5"/>
  <c r="D43" i="5"/>
  <c r="P50" i="3"/>
  <c r="F43" i="5" s="1"/>
  <c r="R24" i="3"/>
  <c r="I8" i="5" s="1"/>
  <c r="AJ12" i="5"/>
  <c r="AI27" i="5" s="1"/>
  <c r="AI38" i="5" s="1"/>
  <c r="AO44" i="5"/>
  <c r="Z51" i="3"/>
  <c r="Q69" i="3" s="1"/>
  <c r="H51" i="3"/>
  <c r="AN44" i="5" s="1"/>
  <c r="V10" i="5"/>
  <c r="V66" i="3"/>
  <c r="V78" i="3" s="1"/>
  <c r="C65" i="3"/>
  <c r="C77" i="3" s="1"/>
  <c r="G68" i="3"/>
  <c r="Q10" i="5"/>
  <c r="Z30" i="3"/>
  <c r="Q14" i="5" s="1"/>
  <c r="M30" i="3"/>
  <c r="D14" i="5" s="1"/>
  <c r="AB14" i="5" s="1"/>
  <c r="N29" i="3"/>
  <c r="E13" i="5" s="1"/>
  <c r="I66" i="3"/>
  <c r="I78" i="3" s="1"/>
  <c r="J23" i="3"/>
  <c r="R30" i="3"/>
  <c r="I14" i="5" s="1"/>
  <c r="P24" i="3"/>
  <c r="L21" i="3"/>
  <c r="C61" i="3" s="1"/>
  <c r="C73" i="3" s="1"/>
  <c r="L28" i="3"/>
  <c r="C12" i="5" s="1"/>
  <c r="AB51" i="3"/>
  <c r="R44" i="5" s="1"/>
  <c r="AI44" i="5"/>
  <c r="AI52" i="5" s="1"/>
  <c r="K44" i="5"/>
  <c r="L69" i="3"/>
  <c r="AN6" i="5"/>
  <c r="Q22" i="3"/>
  <c r="H6" i="5" s="1"/>
  <c r="S10" i="5"/>
  <c r="S66" i="3"/>
  <c r="S78" i="3" s="1"/>
  <c r="D28" i="5"/>
  <c r="T26" i="3"/>
  <c r="K10" i="5" s="1"/>
  <c r="L29" i="3"/>
  <c r="C13" i="5" s="1"/>
  <c r="C28" i="5" s="1"/>
  <c r="AJ24" i="5"/>
  <c r="AJ37" i="5" s="1"/>
  <c r="AC51" i="3"/>
  <c r="C64" i="3"/>
  <c r="N66" i="3"/>
  <c r="N78" i="3" s="1"/>
  <c r="X51" i="3"/>
  <c r="M51" i="3"/>
  <c r="O23" i="3"/>
  <c r="F7" i="5" s="1"/>
  <c r="C66" i="3"/>
  <c r="C78" i="3" s="1"/>
  <c r="R29" i="3"/>
  <c r="I13" i="5" s="1"/>
  <c r="M23" i="3"/>
  <c r="D7" i="5" s="1"/>
  <c r="O66" i="3"/>
  <c r="O78" i="3" s="1"/>
  <c r="P23" i="3"/>
  <c r="G7" i="5" s="1"/>
  <c r="AO14" i="5"/>
  <c r="H45" i="5"/>
  <c r="C68" i="3"/>
  <c r="B43" i="5"/>
  <c r="W50" i="3"/>
  <c r="AE50" i="3"/>
  <c r="U43" i="5" s="1"/>
  <c r="O50" i="3"/>
  <c r="N45" i="5"/>
  <c r="D65" i="3"/>
  <c r="D77" i="3" s="1"/>
  <c r="D9" i="5"/>
  <c r="G64" i="3"/>
  <c r="G8" i="5"/>
  <c r="AH50" i="3"/>
  <c r="Z50" i="3"/>
  <c r="W20" i="3"/>
  <c r="AE20" i="3"/>
  <c r="AL4" i="5"/>
  <c r="AI9" i="5"/>
  <c r="AI24" i="5" s="1"/>
  <c r="AI37" i="5" s="1"/>
  <c r="AB25" i="3"/>
  <c r="T25" i="3"/>
  <c r="N27" i="3"/>
  <c r="E11" i="5" s="1"/>
  <c r="V27" i="3"/>
  <c r="M11" i="5" s="1"/>
  <c r="AD27" i="3"/>
  <c r="U11" i="5" s="1"/>
  <c r="T26" i="5" s="1"/>
  <c r="AK11" i="5"/>
  <c r="AN25" i="5"/>
  <c r="AM25" i="5"/>
  <c r="AG29" i="3"/>
  <c r="X13" i="5" s="1"/>
  <c r="Y29" i="3"/>
  <c r="P13" i="5" s="1"/>
  <c r="AL44" i="5"/>
  <c r="AL52" i="5" s="1"/>
  <c r="O51" i="3"/>
  <c r="W51" i="3"/>
  <c r="M44" i="5" s="1"/>
  <c r="M52" i="3"/>
  <c r="AC52" i="3"/>
  <c r="AC21" i="3"/>
  <c r="U21" i="3"/>
  <c r="AJ5" i="5"/>
  <c r="AI20" i="5" s="1"/>
  <c r="AI33" i="5" s="1"/>
  <c r="Z22" i="3"/>
  <c r="AH22" i="3"/>
  <c r="Q28" i="3"/>
  <c r="Y28" i="3"/>
  <c r="P12" i="5" s="1"/>
  <c r="AG28" i="3"/>
  <c r="X12" i="5" s="1"/>
  <c r="AN12" i="5"/>
  <c r="AN27" i="5" s="1"/>
  <c r="AN38" i="5" s="1"/>
  <c r="AH52" i="3"/>
  <c r="U52" i="3"/>
  <c r="AM45" i="5"/>
  <c r="AM46" i="5" s="1"/>
  <c r="Q29" i="3"/>
  <c r="H13" i="5" s="1"/>
  <c r="H28" i="5" s="1"/>
  <c r="U44" i="5"/>
  <c r="X66" i="3"/>
  <c r="X78" i="3" s="1"/>
  <c r="AJ45" i="5"/>
  <c r="E61" i="3"/>
  <c r="E73" i="3" s="1"/>
  <c r="F9" i="5"/>
  <c r="E7" i="5"/>
  <c r="E63" i="3"/>
  <c r="E75" i="3" s="1"/>
  <c r="AJ13" i="5"/>
  <c r="AI28" i="5" s="1"/>
  <c r="AC29" i="3"/>
  <c r="T13" i="5" s="1"/>
  <c r="U29" i="3"/>
  <c r="L13" i="5" s="1"/>
  <c r="O20" i="3"/>
  <c r="T50" i="3"/>
  <c r="AB50" i="3"/>
  <c r="AI43" i="5"/>
  <c r="X20" i="3"/>
  <c r="AF20" i="3"/>
  <c r="P20" i="3"/>
  <c r="AM4" i="5"/>
  <c r="AM19" i="5" s="1"/>
  <c r="AM32" i="5" s="1"/>
  <c r="Z25" i="3"/>
  <c r="AH25" i="3"/>
  <c r="AO9" i="5"/>
  <c r="AD26" i="3"/>
  <c r="AK10" i="5"/>
  <c r="V26" i="3"/>
  <c r="N26" i="3"/>
  <c r="E10" i="5" s="1"/>
  <c r="AH21" i="3"/>
  <c r="Z21" i="3"/>
  <c r="AO5" i="5"/>
  <c r="R21" i="3"/>
  <c r="I61" i="3" s="1"/>
  <c r="AL12" i="5"/>
  <c r="AE28" i="3"/>
  <c r="V12" i="5" s="1"/>
  <c r="W28" i="3"/>
  <c r="N12" i="5" s="1"/>
  <c r="AM13" i="5"/>
  <c r="AM28" i="5" s="1"/>
  <c r="X29" i="3"/>
  <c r="AF29" i="3"/>
  <c r="W13" i="5" s="1"/>
  <c r="P29" i="3"/>
  <c r="AO6" i="5"/>
  <c r="AN21" i="5" s="1"/>
  <c r="Y51" i="3"/>
  <c r="Q51" i="3"/>
  <c r="W29" i="3"/>
  <c r="N13" i="5" s="1"/>
  <c r="AE29" i="3"/>
  <c r="V13" i="5" s="1"/>
  <c r="V28" i="5" s="1"/>
  <c r="AL13" i="5"/>
  <c r="R51" i="3"/>
  <c r="AH51" i="3"/>
  <c r="W52" i="3"/>
  <c r="O52" i="3"/>
  <c r="AL45" i="5"/>
  <c r="AL53" i="5" s="1"/>
  <c r="AE52" i="3"/>
  <c r="AD28" i="3"/>
  <c r="V28" i="3"/>
  <c r="M12" i="5" s="1"/>
  <c r="AB22" i="3"/>
  <c r="T22" i="3"/>
  <c r="L22" i="3"/>
  <c r="AM9" i="5"/>
  <c r="X25" i="3"/>
  <c r="AF25" i="3"/>
  <c r="P25" i="3"/>
  <c r="AG51" i="3"/>
  <c r="T29" i="3"/>
  <c r="K13" i="5" s="1"/>
  <c r="AB29" i="3"/>
  <c r="S13" i="5" s="1"/>
  <c r="I9" i="5"/>
  <c r="I65" i="3"/>
  <c r="I77" i="3" s="1"/>
  <c r="AD24" i="3"/>
  <c r="V24" i="3"/>
  <c r="N24" i="3"/>
  <c r="R27" i="3"/>
  <c r="Z27" i="3"/>
  <c r="Q11" i="5" s="1"/>
  <c r="AH27" i="3"/>
  <c r="AO7" i="5"/>
  <c r="AH23" i="3"/>
  <c r="Z23" i="3"/>
  <c r="R23" i="3"/>
  <c r="AB30" i="3"/>
  <c r="S14" i="5" s="1"/>
  <c r="S29" i="5" s="1"/>
  <c r="L30" i="3"/>
  <c r="C14" i="5" s="1"/>
  <c r="AI14" i="5"/>
  <c r="AI29" i="5" s="1"/>
  <c r="O30" i="3"/>
  <c r="F14" i="5" s="1"/>
  <c r="F29" i="5" s="1"/>
  <c r="AE30" i="3"/>
  <c r="U22" i="3"/>
  <c r="AC22" i="3"/>
  <c r="M22" i="3"/>
  <c r="AJ6" i="5"/>
  <c r="AI21" i="5" s="1"/>
  <c r="AG30" i="3"/>
  <c r="X14" i="5" s="1"/>
  <c r="X29" i="5" s="1"/>
  <c r="AN14" i="5"/>
  <c r="Q30" i="3"/>
  <c r="H14" i="5" s="1"/>
  <c r="X28" i="3"/>
  <c r="O12" i="5" s="1"/>
  <c r="AF28" i="3"/>
  <c r="W12" i="5" s="1"/>
  <c r="AM12" i="5"/>
  <c r="AM27" i="5" s="1"/>
  <c r="AM38" i="5" s="1"/>
  <c r="Y66" i="3"/>
  <c r="Y78" i="3" s="1"/>
  <c r="O29" i="3"/>
  <c r="Y30" i="3"/>
  <c r="P14" i="5" s="1"/>
  <c r="M50" i="3"/>
  <c r="AC50" i="3"/>
  <c r="U50" i="3"/>
  <c r="AJ43" i="5"/>
  <c r="M21" i="3"/>
  <c r="O26" i="3"/>
  <c r="F10" i="5" s="1"/>
  <c r="AL10" i="5"/>
  <c r="AL25" i="5" s="1"/>
  <c r="P28" i="3"/>
  <c r="T30" i="3"/>
  <c r="K14" i="5" s="1"/>
  <c r="X23" i="3"/>
  <c r="AF23" i="3"/>
  <c r="Z29" i="3"/>
  <c r="Q13" i="5" s="1"/>
  <c r="AH29" i="3"/>
  <c r="Y13" i="5" s="1"/>
  <c r="X28" i="5" s="1"/>
  <c r="AF51" i="3"/>
  <c r="P51" i="3"/>
  <c r="X50" i="3"/>
  <c r="AF50" i="3"/>
  <c r="AD20" i="3"/>
  <c r="V20" i="3"/>
  <c r="N20" i="3"/>
  <c r="AE24" i="3"/>
  <c r="W24" i="3"/>
  <c r="AL8" i="5"/>
  <c r="AK23" i="5" s="1"/>
  <c r="O24" i="3"/>
  <c r="V25" i="3"/>
  <c r="AD25" i="3"/>
  <c r="N25" i="3"/>
  <c r="W23" i="3"/>
  <c r="AE23" i="3"/>
  <c r="AD23" i="3"/>
  <c r="V23" i="3"/>
  <c r="AD21" i="3"/>
  <c r="U5" i="5" s="1"/>
  <c r="V21" i="3"/>
  <c r="Y25" i="3"/>
  <c r="AG25" i="3"/>
  <c r="AM6" i="5"/>
  <c r="AM21" i="5" s="1"/>
  <c r="AF22" i="3"/>
  <c r="W62" i="3" s="1"/>
  <c r="X22" i="3"/>
  <c r="P22" i="3"/>
  <c r="AO13" i="5"/>
  <c r="AN28" i="5" s="1"/>
  <c r="AH20" i="3"/>
  <c r="Z20" i="3"/>
  <c r="AO4" i="5"/>
  <c r="AN19" i="5" s="1"/>
  <c r="AN32" i="5" s="1"/>
  <c r="R20" i="3"/>
  <c r="I60" i="3" s="1"/>
  <c r="AH24" i="3"/>
  <c r="Z24" i="3"/>
  <c r="U24" i="3"/>
  <c r="AC24" i="3"/>
  <c r="AJ8" i="5"/>
  <c r="AJ23" i="5" s="1"/>
  <c r="M24" i="3"/>
  <c r="D8" i="5" s="1"/>
  <c r="C23" i="5" s="1"/>
  <c r="AE25" i="3"/>
  <c r="V9" i="5" s="1"/>
  <c r="W25" i="3"/>
  <c r="AL9" i="5"/>
  <c r="L27" i="3"/>
  <c r="C11" i="5" s="1"/>
  <c r="AB27" i="3"/>
  <c r="S11" i="5" s="1"/>
  <c r="T27" i="3"/>
  <c r="K11" i="5" s="1"/>
  <c r="AI11" i="5"/>
  <c r="AI26" i="5" s="1"/>
  <c r="AL7" i="5"/>
  <c r="AL22" i="5" s="1"/>
  <c r="AK7" i="5"/>
  <c r="AL5" i="5"/>
  <c r="AL20" i="5" s="1"/>
  <c r="AL33" i="5" s="1"/>
  <c r="W21" i="3"/>
  <c r="AE21" i="3"/>
  <c r="O21" i="3"/>
  <c r="AB28" i="3"/>
  <c r="S12" i="5" s="1"/>
  <c r="T28" i="3"/>
  <c r="K12" i="5" s="1"/>
  <c r="W22" i="3"/>
  <c r="AE22" i="3"/>
  <c r="Y22" i="3"/>
  <c r="AG22" i="3"/>
  <c r="AK13" i="5"/>
  <c r="V29" i="3"/>
  <c r="M13" i="5" s="1"/>
  <c r="M28" i="5" s="1"/>
  <c r="AD29" i="3"/>
  <c r="U13" i="5" s="1"/>
  <c r="AD50" i="3"/>
  <c r="V50" i="3"/>
  <c r="L43" i="5" s="1"/>
  <c r="AI8" i="5"/>
  <c r="AI23" i="5" s="1"/>
  <c r="AB24" i="3"/>
  <c r="T24" i="3"/>
  <c r="U25" i="3"/>
  <c r="AC25" i="3"/>
  <c r="O27" i="3"/>
  <c r="F11" i="5" s="1"/>
  <c r="AE27" i="3"/>
  <c r="V11" i="5" s="1"/>
  <c r="W27" i="3"/>
  <c r="N11" i="5" s="1"/>
  <c r="U27" i="3"/>
  <c r="L11" i="5" s="1"/>
  <c r="L26" i="5" s="1"/>
  <c r="AC27" i="3"/>
  <c r="T11" i="5" s="1"/>
  <c r="M27" i="3"/>
  <c r="D11" i="5" s="1"/>
  <c r="T23" i="3"/>
  <c r="AB23" i="3"/>
  <c r="AJ7" i="5"/>
  <c r="AC23" i="3"/>
  <c r="T7" i="5" s="1"/>
  <c r="U23" i="3"/>
  <c r="Z28" i="3"/>
  <c r="Q12" i="5" s="1"/>
  <c r="AH28" i="3"/>
  <c r="Y12" i="5" s="1"/>
  <c r="U28" i="3"/>
  <c r="L12" i="5" s="1"/>
  <c r="AC28" i="3"/>
  <c r="T12" i="5" s="1"/>
  <c r="T21" i="3"/>
  <c r="AB21" i="3"/>
  <c r="N30" i="3"/>
  <c r="E14" i="5" s="1"/>
  <c r="AD30" i="3"/>
  <c r="U14" i="5" s="1"/>
  <c r="T29" i="5" s="1"/>
  <c r="V22" i="3"/>
  <c r="AD22" i="3"/>
  <c r="Q20" i="3"/>
  <c r="AG20" i="3"/>
  <c r="Y20" i="3"/>
  <c r="I23" i="3"/>
  <c r="AM14" i="5"/>
  <c r="AF30" i="3"/>
  <c r="W14" i="5" s="1"/>
  <c r="AE14" i="5" s="1"/>
  <c r="Y21" i="3"/>
  <c r="AG21" i="3"/>
  <c r="AF24" i="3"/>
  <c r="X24" i="3"/>
  <c r="AC20" i="3"/>
  <c r="U20" i="3"/>
  <c r="T20" i="3"/>
  <c r="AB20" i="3"/>
  <c r="Y27" i="3"/>
  <c r="P11" i="5" s="1"/>
  <c r="AG27" i="3"/>
  <c r="X11" i="5" s="1"/>
  <c r="Q27" i="3"/>
  <c r="H11" i="5" s="1"/>
  <c r="AM11" i="5"/>
  <c r="AF27" i="3"/>
  <c r="W11" i="5" s="1"/>
  <c r="X27" i="3"/>
  <c r="O11" i="5" s="1"/>
  <c r="P27" i="3"/>
  <c r="G11" i="5" s="1"/>
  <c r="Y24" i="3"/>
  <c r="AG24" i="3"/>
  <c r="X21" i="3"/>
  <c r="AF21" i="3"/>
  <c r="AK20" i="5"/>
  <c r="AK33" i="5" s="1"/>
  <c r="AJ21" i="5"/>
  <c r="W28" i="5"/>
  <c r="H21" i="5"/>
  <c r="O13" i="5"/>
  <c r="V51" i="3"/>
  <c r="V53" i="3" s="1"/>
  <c r="N51" i="3"/>
  <c r="AD51" i="3"/>
  <c r="AK44" i="5"/>
  <c r="R50" i="3"/>
  <c r="AO43" i="5"/>
  <c r="T52" i="3"/>
  <c r="AB52" i="3"/>
  <c r="AI45" i="5"/>
  <c r="L52" i="3"/>
  <c r="AK45" i="5"/>
  <c r="V52" i="3"/>
  <c r="AD52" i="3"/>
  <c r="N52" i="3"/>
  <c r="P52" i="3"/>
  <c r="AF52" i="3"/>
  <c r="H52" i="3"/>
  <c r="AN5" i="5"/>
  <c r="Q21" i="3"/>
  <c r="D4" i="5"/>
  <c r="D60" i="3"/>
  <c r="AN52" i="5"/>
  <c r="AM52" i="5"/>
  <c r="C6" i="5"/>
  <c r="M65" i="3"/>
  <c r="M9" i="5"/>
  <c r="P6" i="5"/>
  <c r="P62" i="3"/>
  <c r="M68" i="3"/>
  <c r="Z52" i="3"/>
  <c r="AO45" i="5"/>
  <c r="I5" i="5"/>
  <c r="P66" i="3"/>
  <c r="P10" i="5"/>
  <c r="AE53" i="3"/>
  <c r="U26" i="3"/>
  <c r="AC26" i="3"/>
  <c r="M26" i="3"/>
  <c r="AJ10" i="5"/>
  <c r="D66" i="3"/>
  <c r="D12" i="5"/>
  <c r="AN9" i="5"/>
  <c r="Q25" i="3"/>
  <c r="E26" i="5"/>
  <c r="AI7" i="5"/>
  <c r="AI22" i="5" s="1"/>
  <c r="L23" i="3"/>
  <c r="O22" i="3"/>
  <c r="AL6" i="5"/>
  <c r="D63" i="3"/>
  <c r="V65" i="3"/>
  <c r="T51" i="3"/>
  <c r="L51" i="3"/>
  <c r="AL43" i="5"/>
  <c r="F66" i="3"/>
  <c r="F12" i="5"/>
  <c r="W30" i="3"/>
  <c r="N14" i="5" s="1"/>
  <c r="N29" i="5" s="1"/>
  <c r="K29" i="5"/>
  <c r="AK12" i="5"/>
  <c r="U12" i="5"/>
  <c r="N28" i="3"/>
  <c r="AN8" i="5"/>
  <c r="AN23" i="5" s="1"/>
  <c r="AN36" i="5" s="1"/>
  <c r="Q24" i="3"/>
  <c r="P21" i="3"/>
  <c r="AL14" i="5"/>
  <c r="V14" i="5"/>
  <c r="H50" i="3"/>
  <c r="W10" i="5"/>
  <c r="W66" i="3"/>
  <c r="AG10" i="5"/>
  <c r="AO11" i="5"/>
  <c r="AN26" i="5" s="1"/>
  <c r="L20" i="3"/>
  <c r="AI4" i="5"/>
  <c r="AI19" i="5" s="1"/>
  <c r="AI32" i="5" s="1"/>
  <c r="W6" i="5" l="1"/>
  <c r="P44" i="5"/>
  <c r="T28" i="5"/>
  <c r="AG13" i="5"/>
  <c r="S69" i="3"/>
  <c r="AK22" i="5"/>
  <c r="E22" i="5"/>
  <c r="S28" i="5"/>
  <c r="AN29" i="5"/>
  <c r="K66" i="3"/>
  <c r="K78" i="3" s="1"/>
  <c r="AN34" i="5"/>
  <c r="K26" i="5"/>
  <c r="C29" i="5"/>
  <c r="I64" i="3"/>
  <c r="I76" i="3" s="1"/>
  <c r="AJ20" i="5"/>
  <c r="AJ33" i="5" s="1"/>
  <c r="C5" i="5"/>
  <c r="AA10" i="5"/>
  <c r="AD11" i="5"/>
  <c r="AA12" i="5"/>
  <c r="M27" i="5"/>
  <c r="M38" i="5" s="1"/>
  <c r="K15" i="6" s="1"/>
  <c r="AL28" i="5"/>
  <c r="AL27" i="5"/>
  <c r="AL38" i="5" s="1"/>
  <c r="AI51" i="5"/>
  <c r="AG14" i="5"/>
  <c r="AL21" i="5"/>
  <c r="AA11" i="5"/>
  <c r="L53" i="3"/>
  <c r="N69" i="3"/>
  <c r="V26" i="5"/>
  <c r="C62" i="3"/>
  <c r="L28" i="5"/>
  <c r="F22" i="5"/>
  <c r="T63" i="3"/>
  <c r="T75" i="3" s="1"/>
  <c r="U26" i="5"/>
  <c r="M26" i="5"/>
  <c r="C44" i="5"/>
  <c r="D69" i="3"/>
  <c r="S44" i="5"/>
  <c r="T69" i="3"/>
  <c r="AA13" i="5"/>
  <c r="W26" i="5"/>
  <c r="AE11" i="5"/>
  <c r="AF11" i="5"/>
  <c r="N26" i="5"/>
  <c r="H62" i="3"/>
  <c r="AC11" i="5"/>
  <c r="N44" i="5"/>
  <c r="M52" i="5" s="1"/>
  <c r="L41" i="6" s="1"/>
  <c r="O69" i="3"/>
  <c r="P26" i="5"/>
  <c r="AG50" i="3"/>
  <c r="Y50" i="3"/>
  <c r="P64" i="3"/>
  <c r="P8" i="5"/>
  <c r="P60" i="3"/>
  <c r="P4" i="5"/>
  <c r="P27" i="5"/>
  <c r="P38" i="5" s="1"/>
  <c r="N15" i="6" s="1"/>
  <c r="AG12" i="5"/>
  <c r="N9" i="5"/>
  <c r="M24" i="5" s="1"/>
  <c r="N65" i="3"/>
  <c r="N77" i="3" s="1"/>
  <c r="N7" i="5"/>
  <c r="N63" i="3"/>
  <c r="N75" i="3" s="1"/>
  <c r="E4" i="5"/>
  <c r="D19" i="5" s="1"/>
  <c r="E60" i="3"/>
  <c r="N43" i="5"/>
  <c r="N46" i="5" s="1"/>
  <c r="O68" i="3"/>
  <c r="X53" i="3"/>
  <c r="K43" i="5"/>
  <c r="L68" i="3"/>
  <c r="U53" i="3"/>
  <c r="E45" i="5"/>
  <c r="F70" i="3"/>
  <c r="O44" i="5"/>
  <c r="P69" i="3"/>
  <c r="U66" i="3"/>
  <c r="U78" i="3" s="1"/>
  <c r="U10" i="5"/>
  <c r="U25" i="5" s="1"/>
  <c r="Y70" i="3"/>
  <c r="X45" i="5"/>
  <c r="Q6" i="5"/>
  <c r="P21" i="5" s="1"/>
  <c r="Q62" i="3"/>
  <c r="Q74" i="3" s="1"/>
  <c r="S45" i="5"/>
  <c r="T70" i="3"/>
  <c r="N4" i="5"/>
  <c r="N60" i="3"/>
  <c r="I4" i="5"/>
  <c r="AC13" i="5"/>
  <c r="AB31" i="3"/>
  <c r="S15" i="5" s="1"/>
  <c r="O8" i="5"/>
  <c r="O64" i="3"/>
  <c r="O76" i="3" s="1"/>
  <c r="X60" i="3"/>
  <c r="X4" i="5"/>
  <c r="V5" i="5"/>
  <c r="V61" i="3"/>
  <c r="E9" i="5"/>
  <c r="E24" i="5" s="1"/>
  <c r="E37" i="5" s="1"/>
  <c r="K7" i="6" s="1"/>
  <c r="E65" i="3"/>
  <c r="E77" i="3" s="1"/>
  <c r="F44" i="5"/>
  <c r="G69" i="3"/>
  <c r="F25" i="5"/>
  <c r="AD10" i="5"/>
  <c r="P29" i="5"/>
  <c r="O29" i="5"/>
  <c r="L6" i="5"/>
  <c r="L62" i="3"/>
  <c r="L74" i="3" s="1"/>
  <c r="Y7" i="5"/>
  <c r="Y63" i="3"/>
  <c r="Y75" i="3" s="1"/>
  <c r="U64" i="3"/>
  <c r="U8" i="5"/>
  <c r="G60" i="3"/>
  <c r="G4" i="5"/>
  <c r="E62" i="3"/>
  <c r="D22" i="5"/>
  <c r="AI35" i="5"/>
  <c r="AA14" i="5"/>
  <c r="AO46" i="5"/>
  <c r="X31" i="3"/>
  <c r="O15" i="5" s="1"/>
  <c r="AA66" i="3"/>
  <c r="AA78" i="3" s="1"/>
  <c r="G26" i="5"/>
  <c r="L60" i="3"/>
  <c r="L4" i="5"/>
  <c r="AG23" i="3"/>
  <c r="AG31" i="3" s="1"/>
  <c r="X15" i="5" s="1"/>
  <c r="Y23" i="3"/>
  <c r="Y31" i="3" s="1"/>
  <c r="P15" i="5" s="1"/>
  <c r="Q23" i="3"/>
  <c r="Q31" i="3" s="1"/>
  <c r="H15" i="5" s="1"/>
  <c r="AN7" i="5"/>
  <c r="U6" i="5"/>
  <c r="U62" i="3"/>
  <c r="S61" i="3"/>
  <c r="S73" i="3" s="1"/>
  <c r="S5" i="5"/>
  <c r="X27" i="5"/>
  <c r="X38" i="5" s="1"/>
  <c r="N22" i="6" s="1"/>
  <c r="AJ22" i="5"/>
  <c r="S26" i="5"/>
  <c r="F26" i="5"/>
  <c r="S64" i="3"/>
  <c r="S8" i="5"/>
  <c r="U28" i="5"/>
  <c r="S27" i="5"/>
  <c r="S38" i="5" s="1"/>
  <c r="I22" i="6" s="1"/>
  <c r="AL24" i="5"/>
  <c r="AL37" i="5" s="1"/>
  <c r="Y64" i="3"/>
  <c r="Y8" i="5"/>
  <c r="Y4" i="5"/>
  <c r="Y60" i="3"/>
  <c r="M5" i="5"/>
  <c r="M61" i="3"/>
  <c r="M73" i="3" s="1"/>
  <c r="V63" i="3"/>
  <c r="V75" i="3" s="1"/>
  <c r="V7" i="5"/>
  <c r="V8" i="5"/>
  <c r="V64" i="3"/>
  <c r="AK24" i="5"/>
  <c r="AK37" i="5" s="1"/>
  <c r="O63" i="3"/>
  <c r="O75" i="3" s="1"/>
  <c r="O7" i="5"/>
  <c r="G66" i="3"/>
  <c r="G78" i="3" s="1"/>
  <c r="G12" i="5"/>
  <c r="AJ51" i="5"/>
  <c r="AJ46" i="5"/>
  <c r="G29" i="5"/>
  <c r="AF14" i="5"/>
  <c r="H29" i="5"/>
  <c r="D6" i="5"/>
  <c r="D62" i="3"/>
  <c r="I7" i="5"/>
  <c r="I63" i="3"/>
  <c r="E8" i="5"/>
  <c r="E64" i="3"/>
  <c r="K28" i="5"/>
  <c r="O9" i="5"/>
  <c r="O65" i="3"/>
  <c r="O77" i="3" s="1"/>
  <c r="I69" i="3"/>
  <c r="H44" i="5"/>
  <c r="G44" i="5"/>
  <c r="H69" i="3"/>
  <c r="V27" i="5"/>
  <c r="V38" i="5" s="1"/>
  <c r="L22" i="6" s="1"/>
  <c r="Q5" i="5"/>
  <c r="Q61" i="3"/>
  <c r="Q73" i="3" s="1"/>
  <c r="AK25" i="5"/>
  <c r="AK36" i="5" s="1"/>
  <c r="Q9" i="5"/>
  <c r="Q65" i="3"/>
  <c r="Q77" i="3" s="1"/>
  <c r="O4" i="5"/>
  <c r="O60" i="3"/>
  <c r="O72" i="3" s="1"/>
  <c r="F60" i="3"/>
  <c r="F4" i="5"/>
  <c r="AJ28" i="5"/>
  <c r="AB13" i="5"/>
  <c r="K45" i="5"/>
  <c r="L70" i="3"/>
  <c r="Y6" i="5"/>
  <c r="Y62" i="3"/>
  <c r="T5" i="5"/>
  <c r="T61" i="3"/>
  <c r="T73" i="3" s="1"/>
  <c r="E44" i="5"/>
  <c r="AD44" i="5" s="1"/>
  <c r="F69" i="3"/>
  <c r="K9" i="5"/>
  <c r="K65" i="3"/>
  <c r="V60" i="3"/>
  <c r="V4" i="5"/>
  <c r="AL26" i="5"/>
  <c r="AM26" i="5"/>
  <c r="T60" i="3"/>
  <c r="T4" i="5"/>
  <c r="AB4" i="5" s="1"/>
  <c r="M62" i="3"/>
  <c r="M6" i="5"/>
  <c r="K5" i="5"/>
  <c r="K61" i="3"/>
  <c r="T9" i="5"/>
  <c r="T65" i="3"/>
  <c r="T77" i="3" s="1"/>
  <c r="F61" i="3"/>
  <c r="F73" i="3" s="1"/>
  <c r="F5" i="5"/>
  <c r="E20" i="5" s="1"/>
  <c r="T8" i="5"/>
  <c r="T64" i="3"/>
  <c r="T76" i="3" s="1"/>
  <c r="AC5" i="5"/>
  <c r="F64" i="3"/>
  <c r="F8" i="5"/>
  <c r="T6" i="5"/>
  <c r="T62" i="3"/>
  <c r="T74" i="3" s="1"/>
  <c r="Q7" i="5"/>
  <c r="Q63" i="3"/>
  <c r="Q75" i="3" s="1"/>
  <c r="M64" i="3"/>
  <c r="M8" i="5"/>
  <c r="X69" i="3"/>
  <c r="W44" i="5"/>
  <c r="Y61" i="3"/>
  <c r="Y73" i="3" s="1"/>
  <c r="Y5" i="5"/>
  <c r="S65" i="3"/>
  <c r="S77" i="3" s="1"/>
  <c r="S9" i="5"/>
  <c r="S24" i="5" s="1"/>
  <c r="S37" i="5" s="1"/>
  <c r="I21" i="6" s="1"/>
  <c r="F68" i="3"/>
  <c r="O53" i="3"/>
  <c r="E43" i="5"/>
  <c r="L63" i="3"/>
  <c r="L75" i="3" s="1"/>
  <c r="L7" i="5"/>
  <c r="L9" i="5"/>
  <c r="AB9" i="5" s="1"/>
  <c r="L65" i="3"/>
  <c r="L77" i="3" s="1"/>
  <c r="AK28" i="5"/>
  <c r="AK35" i="5" s="1"/>
  <c r="AL35" i="5"/>
  <c r="L64" i="3"/>
  <c r="L8" i="5"/>
  <c r="G6" i="5"/>
  <c r="G21" i="5" s="1"/>
  <c r="G34" i="5" s="1"/>
  <c r="M4" i="6" s="1"/>
  <c r="G62" i="3"/>
  <c r="M7" i="5"/>
  <c r="M63" i="3"/>
  <c r="M75" i="3" s="1"/>
  <c r="M60" i="3"/>
  <c r="M72" i="3" s="1"/>
  <c r="M4" i="5"/>
  <c r="M19" i="5" s="1"/>
  <c r="V31" i="3"/>
  <c r="M15" i="5" s="1"/>
  <c r="T68" i="3"/>
  <c r="S43" i="5"/>
  <c r="AC53" i="3"/>
  <c r="W27" i="5"/>
  <c r="W38" i="5" s="1"/>
  <c r="M22" i="6" s="1"/>
  <c r="G9" i="5"/>
  <c r="G65" i="3"/>
  <c r="M45" i="5"/>
  <c r="M53" i="5" s="1"/>
  <c r="L42" i="6" s="1"/>
  <c r="N70" i="3"/>
  <c r="E25" i="5"/>
  <c r="S68" i="3"/>
  <c r="R43" i="5"/>
  <c r="D70" i="3"/>
  <c r="C45" i="5"/>
  <c r="V29" i="5"/>
  <c r="AA29" i="5"/>
  <c r="V68" i="3"/>
  <c r="AL23" i="5"/>
  <c r="AL36" i="5" s="1"/>
  <c r="U61" i="3"/>
  <c r="U73" i="3" s="1"/>
  <c r="AF13" i="5"/>
  <c r="W29" i="5"/>
  <c r="AE29" i="5" s="1"/>
  <c r="O5" i="5"/>
  <c r="O61" i="3"/>
  <c r="O73" i="3" s="1"/>
  <c r="O26" i="5"/>
  <c r="K60" i="3"/>
  <c r="K4" i="5"/>
  <c r="K19" i="5" s="1"/>
  <c r="K32" i="5" s="1"/>
  <c r="I9" i="6" s="1"/>
  <c r="W64" i="3"/>
  <c r="W8" i="5"/>
  <c r="AM29" i="5"/>
  <c r="H4" i="5"/>
  <c r="H60" i="3"/>
  <c r="K27" i="5"/>
  <c r="K38" i="5" s="1"/>
  <c r="I15" i="6" s="1"/>
  <c r="L27" i="5"/>
  <c r="L38" i="5" s="1"/>
  <c r="J15" i="6" s="1"/>
  <c r="K64" i="3"/>
  <c r="K8" i="5"/>
  <c r="U68" i="3"/>
  <c r="AC68" i="3" s="1"/>
  <c r="T43" i="5"/>
  <c r="T51" i="5" s="1"/>
  <c r="K43" i="6" s="1"/>
  <c r="X6" i="5"/>
  <c r="X62" i="3"/>
  <c r="N61" i="3"/>
  <c r="N73" i="3" s="1"/>
  <c r="N5" i="5"/>
  <c r="AI34" i="5"/>
  <c r="Q64" i="3"/>
  <c r="Q8" i="5"/>
  <c r="Q60" i="3"/>
  <c r="Q4" i="5"/>
  <c r="AG4" i="5" s="1"/>
  <c r="Z31" i="3"/>
  <c r="Q15" i="5" s="1"/>
  <c r="O62" i="3"/>
  <c r="O6" i="5"/>
  <c r="U63" i="3"/>
  <c r="U75" i="3" s="1"/>
  <c r="U7" i="5"/>
  <c r="U9" i="5"/>
  <c r="U24" i="5" s="1"/>
  <c r="U37" i="5" s="1"/>
  <c r="K21" i="6" s="1"/>
  <c r="U65" i="3"/>
  <c r="U77" i="3" s="1"/>
  <c r="N64" i="3"/>
  <c r="N8" i="5"/>
  <c r="U60" i="3"/>
  <c r="U4" i="5"/>
  <c r="W69" i="3"/>
  <c r="W74" i="3" s="1"/>
  <c r="V44" i="5"/>
  <c r="V52" i="5" s="1"/>
  <c r="M44" i="6" s="1"/>
  <c r="W7" i="5"/>
  <c r="W63" i="3"/>
  <c r="W75" i="3" s="1"/>
  <c r="D5" i="5"/>
  <c r="D61" i="3"/>
  <c r="C43" i="5"/>
  <c r="B51" i="5" s="1"/>
  <c r="I37" i="6" s="1"/>
  <c r="M53" i="3"/>
  <c r="D68" i="3"/>
  <c r="F13" i="5"/>
  <c r="AD13" i="5" s="1"/>
  <c r="F63" i="3"/>
  <c r="O27" i="5"/>
  <c r="O38" i="5" s="1"/>
  <c r="M15" i="6" s="1"/>
  <c r="W9" i="5"/>
  <c r="V24" i="5" s="1"/>
  <c r="V37" i="5" s="1"/>
  <c r="L21" i="6" s="1"/>
  <c r="W65" i="3"/>
  <c r="W77" i="3" s="1"/>
  <c r="V70" i="3"/>
  <c r="U45" i="5"/>
  <c r="U46" i="5" s="1"/>
  <c r="X44" i="5"/>
  <c r="Y69" i="3"/>
  <c r="G13" i="5"/>
  <c r="G63" i="3"/>
  <c r="N27" i="5"/>
  <c r="N38" i="5" s="1"/>
  <c r="L15" i="6" s="1"/>
  <c r="M66" i="3"/>
  <c r="M78" i="3" s="1"/>
  <c r="M10" i="5"/>
  <c r="M25" i="5" s="1"/>
  <c r="Y9" i="5"/>
  <c r="Y65" i="3"/>
  <c r="Y77" i="3" s="1"/>
  <c r="W4" i="5"/>
  <c r="W60" i="3"/>
  <c r="K68" i="3"/>
  <c r="J43" i="5"/>
  <c r="F24" i="5"/>
  <c r="AG66" i="3"/>
  <c r="AG78" i="3" s="1"/>
  <c r="H12" i="5"/>
  <c r="H66" i="3"/>
  <c r="H78" i="3" s="1"/>
  <c r="L61" i="3"/>
  <c r="L73" i="3" s="1"/>
  <c r="L5" i="5"/>
  <c r="L20" i="5" s="1"/>
  <c r="L33" i="5" s="1"/>
  <c r="J10" i="6" s="1"/>
  <c r="P28" i="5"/>
  <c r="AK26" i="5"/>
  <c r="AJ26" i="5"/>
  <c r="AJ34" i="5" s="1"/>
  <c r="AK19" i="5"/>
  <c r="AK32" i="5" s="1"/>
  <c r="AL19" i="5"/>
  <c r="AL32" i="5" s="1"/>
  <c r="C24" i="5"/>
  <c r="C37" i="5" s="1"/>
  <c r="I7" i="6" s="1"/>
  <c r="AB28" i="5"/>
  <c r="Y11" i="5"/>
  <c r="X26" i="5" s="1"/>
  <c r="AH31" i="3"/>
  <c r="Y15" i="5" s="1"/>
  <c r="H19" i="5"/>
  <c r="T66" i="3"/>
  <c r="T78" i="3" s="1"/>
  <c r="T10" i="5"/>
  <c r="AC31" i="3"/>
  <c r="Q70" i="3"/>
  <c r="P45" i="5"/>
  <c r="AG45" i="5" s="1"/>
  <c r="M77" i="3"/>
  <c r="AC65" i="3"/>
  <c r="AC77" i="3" s="1"/>
  <c r="E70" i="3"/>
  <c r="D45" i="5"/>
  <c r="S60" i="3"/>
  <c r="S4" i="5"/>
  <c r="Q50" i="3"/>
  <c r="AN43" i="5"/>
  <c r="W61" i="3"/>
  <c r="W73" i="3" s="1"/>
  <c r="W5" i="5"/>
  <c r="AF31" i="3"/>
  <c r="W15" i="5" s="1"/>
  <c r="X64" i="3"/>
  <c r="X8" i="5"/>
  <c r="AJ27" i="5"/>
  <c r="AJ38" i="5" s="1"/>
  <c r="AK27" i="5"/>
  <c r="AK38" i="5" s="1"/>
  <c r="F78" i="3"/>
  <c r="AD66" i="3"/>
  <c r="AD78" i="3" s="1"/>
  <c r="J44" i="5"/>
  <c r="K69" i="3"/>
  <c r="T53" i="3"/>
  <c r="V77" i="3"/>
  <c r="V62" i="3"/>
  <c r="V74" i="3" s="1"/>
  <c r="V6" i="5"/>
  <c r="AE31" i="3"/>
  <c r="V15" i="5" s="1"/>
  <c r="S62" i="3"/>
  <c r="S74" i="3" s="1"/>
  <c r="S6" i="5"/>
  <c r="S21" i="5" s="1"/>
  <c r="C7" i="5"/>
  <c r="C63" i="3"/>
  <c r="AC26" i="5"/>
  <c r="P65" i="3"/>
  <c r="P77" i="3" s="1"/>
  <c r="P9" i="5"/>
  <c r="U29" i="5"/>
  <c r="D10" i="5"/>
  <c r="D64" i="3"/>
  <c r="M31" i="3"/>
  <c r="P78" i="3"/>
  <c r="P74" i="3"/>
  <c r="H61" i="3"/>
  <c r="H5" i="5"/>
  <c r="G70" i="3"/>
  <c r="F45" i="5"/>
  <c r="P53" i="3"/>
  <c r="AJ53" i="5"/>
  <c r="AK53" i="5"/>
  <c r="J45" i="5"/>
  <c r="J53" i="5" s="1"/>
  <c r="I42" i="6" s="1"/>
  <c r="K70" i="3"/>
  <c r="P43" i="5"/>
  <c r="P46" i="5" s="1"/>
  <c r="Q68" i="3"/>
  <c r="Q72" i="3" s="1"/>
  <c r="Z53" i="3"/>
  <c r="L44" i="5"/>
  <c r="M69" i="3"/>
  <c r="M74" i="3" s="1"/>
  <c r="N28" i="5"/>
  <c r="O28" i="5"/>
  <c r="C26" i="5"/>
  <c r="D26" i="5"/>
  <c r="AB11" i="5"/>
  <c r="AF28" i="5"/>
  <c r="C4" i="5"/>
  <c r="L31" i="3"/>
  <c r="C60" i="3"/>
  <c r="W78" i="3"/>
  <c r="G5" i="5"/>
  <c r="G61" i="3"/>
  <c r="P31" i="3"/>
  <c r="AL51" i="5"/>
  <c r="AL46" i="5"/>
  <c r="AK51" i="5"/>
  <c r="K6" i="5"/>
  <c r="K62" i="3"/>
  <c r="X65" i="3"/>
  <c r="X77" i="3" s="1"/>
  <c r="X9" i="5"/>
  <c r="O21" i="5"/>
  <c r="AJ52" i="5"/>
  <c r="AK46" i="5"/>
  <c r="AK52" i="5"/>
  <c r="T31" i="3"/>
  <c r="K15" i="5" s="1"/>
  <c r="I11" i="5"/>
  <c r="I62" i="3"/>
  <c r="R31" i="3"/>
  <c r="AE10" i="5"/>
  <c r="W25" i="5"/>
  <c r="V25" i="5"/>
  <c r="AD25" i="5" s="1"/>
  <c r="AG60" i="3"/>
  <c r="H8" i="5"/>
  <c r="H64" i="3"/>
  <c r="E12" i="5"/>
  <c r="D27" i="5" s="1"/>
  <c r="E66" i="3"/>
  <c r="N31" i="3"/>
  <c r="N68" i="3"/>
  <c r="M43" i="5"/>
  <c r="L51" i="5" s="1"/>
  <c r="K40" i="6" s="1"/>
  <c r="W53" i="3"/>
  <c r="R52" i="5"/>
  <c r="I44" i="6" s="1"/>
  <c r="D75" i="3"/>
  <c r="AB63" i="3"/>
  <c r="AB75" i="3" s="1"/>
  <c r="N62" i="3"/>
  <c r="N6" i="5"/>
  <c r="W31" i="3"/>
  <c r="N15" i="5" s="1"/>
  <c r="K7" i="5"/>
  <c r="K63" i="3"/>
  <c r="K75" i="3" s="1"/>
  <c r="H65" i="3"/>
  <c r="H9" i="5"/>
  <c r="D78" i="3"/>
  <c r="L10" i="5"/>
  <c r="L66" i="3"/>
  <c r="L78" i="3" s="1"/>
  <c r="U31" i="3"/>
  <c r="AD14" i="5"/>
  <c r="P61" i="3"/>
  <c r="P73" i="3" s="1"/>
  <c r="P5" i="5"/>
  <c r="AE6" i="5"/>
  <c r="AN45" i="5"/>
  <c r="Q52" i="3"/>
  <c r="AG52" i="3"/>
  <c r="Y52" i="3"/>
  <c r="U70" i="3"/>
  <c r="T45" i="5"/>
  <c r="AI53" i="5"/>
  <c r="AI46" i="5"/>
  <c r="H43" i="5"/>
  <c r="I68" i="3"/>
  <c r="I72" i="3" s="1"/>
  <c r="R53" i="3"/>
  <c r="AD53" i="3"/>
  <c r="U69" i="3"/>
  <c r="U74" i="3" s="1"/>
  <c r="T44" i="5"/>
  <c r="C27" i="5"/>
  <c r="AB12" i="5"/>
  <c r="AN20" i="5"/>
  <c r="AN33" i="5" s="1"/>
  <c r="AM20" i="5"/>
  <c r="AM33" i="5" s="1"/>
  <c r="B45" i="5"/>
  <c r="C70" i="3"/>
  <c r="AK21" i="5"/>
  <c r="E29" i="5"/>
  <c r="AC14" i="5"/>
  <c r="D29" i="5"/>
  <c r="AB29" i="5" s="1"/>
  <c r="AF53" i="3"/>
  <c r="V43" i="5"/>
  <c r="W68" i="3"/>
  <c r="AK29" i="5"/>
  <c r="AL29" i="5"/>
  <c r="AL34" i="5" s="1"/>
  <c r="U27" i="5"/>
  <c r="U38" i="5" s="1"/>
  <c r="K22" i="6" s="1"/>
  <c r="T27" i="5"/>
  <c r="T38" i="5" s="1"/>
  <c r="J22" i="6" s="1"/>
  <c r="AD12" i="5"/>
  <c r="F27" i="5"/>
  <c r="B44" i="5"/>
  <c r="C69" i="3"/>
  <c r="D35" i="5"/>
  <c r="J5" i="6" s="1"/>
  <c r="F62" i="3"/>
  <c r="F6" i="5"/>
  <c r="O31" i="3"/>
  <c r="S7" i="5"/>
  <c r="S22" i="5" s="1"/>
  <c r="S63" i="3"/>
  <c r="S75" i="3" s="1"/>
  <c r="AN24" i="5"/>
  <c r="AN37" i="5" s="1"/>
  <c r="AM24" i="5"/>
  <c r="AM37" i="5" s="1"/>
  <c r="AI25" i="5"/>
  <c r="AI36" i="5" s="1"/>
  <c r="AJ25" i="5"/>
  <c r="AJ36" i="5" s="1"/>
  <c r="O25" i="5"/>
  <c r="AF10" i="5"/>
  <c r="P25" i="5"/>
  <c r="AD29" i="5"/>
  <c r="I73" i="3"/>
  <c r="AC43" i="5"/>
  <c r="X5" i="5"/>
  <c r="X61" i="3"/>
  <c r="X73" i="3" s="1"/>
  <c r="AM23" i="5"/>
  <c r="AM36" i="5" s="1"/>
  <c r="M29" i="5"/>
  <c r="V45" i="5"/>
  <c r="W70" i="3"/>
  <c r="M70" i="3"/>
  <c r="L45" i="5"/>
  <c r="S70" i="3"/>
  <c r="R45" i="5"/>
  <c r="R46" i="5" s="1"/>
  <c r="AB53" i="3"/>
  <c r="X43" i="5"/>
  <c r="Y68" i="3"/>
  <c r="AH53" i="3"/>
  <c r="E69" i="3"/>
  <c r="D44" i="5"/>
  <c r="N53" i="3"/>
  <c r="AD31" i="3"/>
  <c r="U15" i="5" s="1"/>
  <c r="S35" i="5" l="1"/>
  <c r="I19" i="6" s="1"/>
  <c r="U72" i="3"/>
  <c r="X46" i="5"/>
  <c r="AB70" i="3"/>
  <c r="G74" i="3"/>
  <c r="AA28" i="5"/>
  <c r="AG64" i="3"/>
  <c r="AE64" i="3"/>
  <c r="J51" i="5"/>
  <c r="I40" i="6" s="1"/>
  <c r="C20" i="5"/>
  <c r="C33" i="5" s="1"/>
  <c r="I3" i="6" s="1"/>
  <c r="N76" i="3"/>
  <c r="X21" i="5"/>
  <c r="AA64" i="3"/>
  <c r="V76" i="3"/>
  <c r="AG8" i="5"/>
  <c r="AB60" i="3"/>
  <c r="AC62" i="3"/>
  <c r="Y72" i="3"/>
  <c r="S76" i="3"/>
  <c r="O34" i="5"/>
  <c r="M11" i="6" s="1"/>
  <c r="AD65" i="3"/>
  <c r="AD77" i="3" s="1"/>
  <c r="V72" i="3"/>
  <c r="V19" i="5"/>
  <c r="V32" i="5" s="1"/>
  <c r="L16" i="6" s="1"/>
  <c r="AD69" i="3"/>
  <c r="V55" i="3"/>
  <c r="N23" i="5"/>
  <c r="N36" i="5" s="1"/>
  <c r="L13" i="6" s="1"/>
  <c r="U22" i="5"/>
  <c r="T21" i="5"/>
  <c r="T34" i="5" s="1"/>
  <c r="J18" i="6" s="1"/>
  <c r="AC6" i="5"/>
  <c r="AM34" i="5"/>
  <c r="AB69" i="3"/>
  <c r="AA69" i="3"/>
  <c r="U76" i="3"/>
  <c r="AB66" i="3"/>
  <c r="AB78" i="3" s="1"/>
  <c r="N74" i="3"/>
  <c r="AF66" i="3"/>
  <c r="AF78" i="3" s="1"/>
  <c r="S19" i="5"/>
  <c r="S32" i="5" s="1"/>
  <c r="I16" i="6" s="1"/>
  <c r="AC10" i="5"/>
  <c r="AG5" i="5"/>
  <c r="T72" i="3"/>
  <c r="E52" i="5"/>
  <c r="L38" i="6" s="1"/>
  <c r="O19" i="5"/>
  <c r="O32" i="5" s="1"/>
  <c r="M9" i="6" s="1"/>
  <c r="AF29" i="5"/>
  <c r="V23" i="5"/>
  <c r="V36" i="5" s="1"/>
  <c r="L20" i="6" s="1"/>
  <c r="M20" i="5"/>
  <c r="M33" i="5" s="1"/>
  <c r="K10" i="6" s="1"/>
  <c r="S23" i="5"/>
  <c r="AF69" i="3"/>
  <c r="AC61" i="3"/>
  <c r="AC73" i="3" s="1"/>
  <c r="O74" i="3"/>
  <c r="P23" i="5"/>
  <c r="P36" i="5" s="1"/>
  <c r="N13" i="6" s="1"/>
  <c r="AB44" i="5"/>
  <c r="AK34" i="5"/>
  <c r="K76" i="3"/>
  <c r="U35" i="5"/>
  <c r="K19" i="6" s="1"/>
  <c r="X74" i="3"/>
  <c r="AF60" i="3"/>
  <c r="L76" i="3"/>
  <c r="AD26" i="5"/>
  <c r="U23" i="5"/>
  <c r="U36" i="5" s="1"/>
  <c r="K20" i="6" s="1"/>
  <c r="AD70" i="3"/>
  <c r="K46" i="5"/>
  <c r="AA8" i="5"/>
  <c r="K23" i="5"/>
  <c r="M32" i="5"/>
  <c r="K9" i="6" s="1"/>
  <c r="Y74" i="3"/>
  <c r="D23" i="5"/>
  <c r="E23" i="5"/>
  <c r="AC8" i="5"/>
  <c r="D21" i="5"/>
  <c r="AB6" i="5"/>
  <c r="O52" i="5"/>
  <c r="N41" i="6" s="1"/>
  <c r="N52" i="5"/>
  <c r="M41" i="6" s="1"/>
  <c r="AA26" i="5"/>
  <c r="S72" i="3"/>
  <c r="AB68" i="3"/>
  <c r="AB45" i="5"/>
  <c r="G77" i="3"/>
  <c r="AE65" i="3"/>
  <c r="AE77" i="3" s="1"/>
  <c r="G52" i="5"/>
  <c r="N38" i="6" s="1"/>
  <c r="AF44" i="5"/>
  <c r="I75" i="3"/>
  <c r="AG63" i="3"/>
  <c r="AG75" i="3" s="1"/>
  <c r="AE7" i="5"/>
  <c r="Y76" i="3"/>
  <c r="AJ35" i="5"/>
  <c r="AC64" i="3"/>
  <c r="L21" i="5"/>
  <c r="AC69" i="3"/>
  <c r="R53" i="5"/>
  <c r="I45" i="6" s="1"/>
  <c r="W76" i="3"/>
  <c r="AG61" i="3"/>
  <c r="AG73" i="3" s="1"/>
  <c r="AG68" i="3"/>
  <c r="K22" i="5"/>
  <c r="K35" i="5" s="1"/>
  <c r="I12" i="6" s="1"/>
  <c r="P34" i="5"/>
  <c r="N11" i="6" s="1"/>
  <c r="K21" i="5"/>
  <c r="K34" i="5" s="1"/>
  <c r="I11" i="6" s="1"/>
  <c r="D72" i="3"/>
  <c r="AC9" i="5"/>
  <c r="X55" i="3"/>
  <c r="F37" i="5"/>
  <c r="L7" i="6" s="1"/>
  <c r="W19" i="5"/>
  <c r="W32" i="5" s="1"/>
  <c r="M16" i="6" s="1"/>
  <c r="F75" i="3"/>
  <c r="AD63" i="3"/>
  <c r="AD75" i="3" s="1"/>
  <c r="C46" i="5"/>
  <c r="C51" i="5"/>
  <c r="J37" i="6" s="1"/>
  <c r="AB43" i="5"/>
  <c r="AC63" i="3"/>
  <c r="AC75" i="3" s="1"/>
  <c r="T22" i="5"/>
  <c r="T35" i="5" s="1"/>
  <c r="J19" i="6" s="1"/>
  <c r="R51" i="5"/>
  <c r="I43" i="6" s="1"/>
  <c r="I49" i="6" s="1"/>
  <c r="M22" i="5"/>
  <c r="AG65" i="3"/>
  <c r="AG77" i="3" s="1"/>
  <c r="H74" i="3"/>
  <c r="F76" i="3"/>
  <c r="AD64" i="3"/>
  <c r="E33" i="5"/>
  <c r="K3" i="6" s="1"/>
  <c r="K73" i="3"/>
  <c r="AA61" i="3"/>
  <c r="AA73" i="3" s="1"/>
  <c r="T19" i="5"/>
  <c r="T32" i="5" s="1"/>
  <c r="J16" i="6" s="1"/>
  <c r="D24" i="5"/>
  <c r="D37" i="5" s="1"/>
  <c r="J7" i="6" s="1"/>
  <c r="AA9" i="5"/>
  <c r="K24" i="5"/>
  <c r="S20" i="5"/>
  <c r="S33" i="5" s="1"/>
  <c r="I17" i="6" s="1"/>
  <c r="T20" i="5"/>
  <c r="T33" i="5" s="1"/>
  <c r="J17" i="6" s="1"/>
  <c r="F72" i="3"/>
  <c r="AD60" i="3"/>
  <c r="AG9" i="5"/>
  <c r="AG69" i="3"/>
  <c r="D74" i="3"/>
  <c r="AB62" i="3"/>
  <c r="AB74" i="3" s="1"/>
  <c r="AE12" i="5"/>
  <c r="G27" i="5"/>
  <c r="X19" i="5"/>
  <c r="X32" i="5" s="1"/>
  <c r="N16" i="6" s="1"/>
  <c r="AN22" i="5"/>
  <c r="AN35" i="5" s="1"/>
  <c r="AM22" i="5"/>
  <c r="AM35" i="5" s="1"/>
  <c r="L19" i="5"/>
  <c r="L32" i="5" s="1"/>
  <c r="J9" i="6" s="1"/>
  <c r="AE26" i="5"/>
  <c r="F52" i="5"/>
  <c r="M38" i="6" s="1"/>
  <c r="AE44" i="5"/>
  <c r="AD5" i="5"/>
  <c r="U20" i="5"/>
  <c r="U33" i="5" s="1"/>
  <c r="K17" i="6" s="1"/>
  <c r="O23" i="5"/>
  <c r="AE8" i="5"/>
  <c r="N24" i="5"/>
  <c r="N37" i="5" s="1"/>
  <c r="L14" i="6" s="1"/>
  <c r="L35" i="6" s="1"/>
  <c r="AD9" i="5"/>
  <c r="P19" i="5"/>
  <c r="P32" i="5" s="1"/>
  <c r="N9" i="6" s="1"/>
  <c r="AB72" i="3"/>
  <c r="AF12" i="5"/>
  <c r="H27" i="5"/>
  <c r="F28" i="5"/>
  <c r="F35" i="5" s="1"/>
  <c r="L5" i="6" s="1"/>
  <c r="E28" i="5"/>
  <c r="D73" i="3"/>
  <c r="AB61" i="3"/>
  <c r="AB73" i="3" s="1"/>
  <c r="AA43" i="5"/>
  <c r="M23" i="5"/>
  <c r="M36" i="5" s="1"/>
  <c r="K13" i="6" s="1"/>
  <c r="K20" i="5"/>
  <c r="AA5" i="5"/>
  <c r="H7" i="5"/>
  <c r="H63" i="3"/>
  <c r="AC7" i="5"/>
  <c r="L72" i="3"/>
  <c r="N22" i="5"/>
  <c r="AD7" i="5"/>
  <c r="X20" i="5"/>
  <c r="X33" i="5" s="1"/>
  <c r="N17" i="6" s="1"/>
  <c r="AE62" i="3"/>
  <c r="AD52" i="5"/>
  <c r="L47" i="6" s="1"/>
  <c r="S34" i="5"/>
  <c r="I18" i="6" s="1"/>
  <c r="AA68" i="3"/>
  <c r="G75" i="3"/>
  <c r="AE63" i="3"/>
  <c r="AE75" i="3" s="1"/>
  <c r="AB5" i="5"/>
  <c r="D20" i="5"/>
  <c r="AF4" i="5"/>
  <c r="S51" i="5"/>
  <c r="J43" i="6" s="1"/>
  <c r="S46" i="5"/>
  <c r="L22" i="5"/>
  <c r="AB7" i="5"/>
  <c r="P63" i="3"/>
  <c r="P75" i="3" s="1"/>
  <c r="P7" i="5"/>
  <c r="P22" i="5" s="1"/>
  <c r="P35" i="5" s="1"/>
  <c r="N12" i="6" s="1"/>
  <c r="AB65" i="3"/>
  <c r="AB77" i="3" s="1"/>
  <c r="AE4" i="5"/>
  <c r="G19" i="5"/>
  <c r="E72" i="3"/>
  <c r="AC60" i="3"/>
  <c r="AC72" i="3" s="1"/>
  <c r="M76" i="3"/>
  <c r="K51" i="5"/>
  <c r="J40" i="6" s="1"/>
  <c r="J49" i="6" s="1"/>
  <c r="W21" i="5"/>
  <c r="W34" i="5" s="1"/>
  <c r="M18" i="6" s="1"/>
  <c r="M32" i="6" s="1"/>
  <c r="C21" i="5"/>
  <c r="AF6" i="5"/>
  <c r="K74" i="3"/>
  <c r="AE66" i="3"/>
  <c r="AE78" i="3" s="1"/>
  <c r="Z55" i="3"/>
  <c r="L24" i="5"/>
  <c r="AF62" i="3"/>
  <c r="X34" i="5"/>
  <c r="N18" i="6" s="1"/>
  <c r="U52" i="5"/>
  <c r="L44" i="6" s="1"/>
  <c r="L50" i="6" s="1"/>
  <c r="G28" i="5"/>
  <c r="AE28" i="5" s="1"/>
  <c r="AE13" i="5"/>
  <c r="C4" i="4"/>
  <c r="U19" i="5"/>
  <c r="U32" i="5" s="1"/>
  <c r="K16" i="6" s="1"/>
  <c r="N20" i="5"/>
  <c r="N33" i="5" s="1"/>
  <c r="L10" i="6" s="1"/>
  <c r="K72" i="3"/>
  <c r="AC25" i="5"/>
  <c r="AE9" i="5"/>
  <c r="L23" i="5"/>
  <c r="AB8" i="5"/>
  <c r="D51" i="5"/>
  <c r="K37" i="6" s="1"/>
  <c r="K49" i="6" s="1"/>
  <c r="E51" i="5"/>
  <c r="L37" i="6" s="1"/>
  <c r="E46" i="5"/>
  <c r="W52" i="5"/>
  <c r="N44" i="6" s="1"/>
  <c r="AD8" i="5"/>
  <c r="F23" i="5"/>
  <c r="T23" i="5"/>
  <c r="T24" i="5"/>
  <c r="T37" i="5" s="1"/>
  <c r="J21" i="6" s="1"/>
  <c r="K77" i="3"/>
  <c r="AA65" i="3"/>
  <c r="AA77" i="3" s="1"/>
  <c r="F19" i="5"/>
  <c r="AG44" i="5"/>
  <c r="AG7" i="5"/>
  <c r="V22" i="5"/>
  <c r="V35" i="5" s="1"/>
  <c r="L19" i="6" s="1"/>
  <c r="X63" i="3"/>
  <c r="X75" i="3" s="1"/>
  <c r="X7" i="5"/>
  <c r="X22" i="5" s="1"/>
  <c r="G72" i="3"/>
  <c r="AE60" i="3"/>
  <c r="AE69" i="3"/>
  <c r="AD61" i="3"/>
  <c r="AD73" i="3" s="1"/>
  <c r="V73" i="3"/>
  <c r="AD4" i="5"/>
  <c r="N19" i="5"/>
  <c r="N32" i="5" s="1"/>
  <c r="L9" i="6" s="1"/>
  <c r="AG6" i="5"/>
  <c r="AD45" i="5"/>
  <c r="AC4" i="5"/>
  <c r="E19" i="5"/>
  <c r="E32" i="5" s="1"/>
  <c r="K2" i="6" s="1"/>
  <c r="N35" i="5"/>
  <c r="L12" i="6" s="1"/>
  <c r="AE55" i="3"/>
  <c r="AF55" i="3"/>
  <c r="AB55" i="3"/>
  <c r="AF21" i="5"/>
  <c r="AA62" i="3"/>
  <c r="AA74" i="3" s="1"/>
  <c r="AA6" i="5"/>
  <c r="AF15" i="5"/>
  <c r="D38" i="5"/>
  <c r="J8" i="6" s="1"/>
  <c r="J36" i="6" s="1"/>
  <c r="AB27" i="5"/>
  <c r="AB38" i="5" s="1"/>
  <c r="J29" i="6" s="1"/>
  <c r="L53" i="5"/>
  <c r="K42" i="6" s="1"/>
  <c r="K53" i="5"/>
  <c r="J42" i="6" s="1"/>
  <c r="AF25" i="5"/>
  <c r="AC29" i="5"/>
  <c r="AA70" i="3"/>
  <c r="AA76" i="3" s="1"/>
  <c r="C76" i="3"/>
  <c r="R55" i="3"/>
  <c r="H4" i="4"/>
  <c r="AF64" i="3"/>
  <c r="AG62" i="3"/>
  <c r="I74" i="3"/>
  <c r="P55" i="3"/>
  <c r="F4" i="4"/>
  <c r="AF5" i="5"/>
  <c r="H20" i="5"/>
  <c r="D15" i="5"/>
  <c r="C3" i="4"/>
  <c r="M55" i="3"/>
  <c r="C22" i="5"/>
  <c r="AA7" i="5"/>
  <c r="V21" i="5"/>
  <c r="V34" i="5" s="1"/>
  <c r="L18" i="6" s="1"/>
  <c r="U21" i="5"/>
  <c r="U34" i="5" s="1"/>
  <c r="K18" i="6" s="1"/>
  <c r="AC74" i="3"/>
  <c r="T25" i="5"/>
  <c r="T36" i="5" s="1"/>
  <c r="J20" i="6" s="1"/>
  <c r="S25" i="5"/>
  <c r="F15" i="5"/>
  <c r="AD15" i="5" s="1"/>
  <c r="O55" i="3"/>
  <c r="E3" i="4"/>
  <c r="AD27" i="5"/>
  <c r="AD38" i="5" s="1"/>
  <c r="L29" i="6" s="1"/>
  <c r="F38" i="5"/>
  <c r="L8" i="6" s="1"/>
  <c r="L36" i="6" s="1"/>
  <c r="C38" i="5"/>
  <c r="I8" i="6" s="1"/>
  <c r="I36" i="6" s="1"/>
  <c r="AA27" i="5"/>
  <c r="AA38" i="5" s="1"/>
  <c r="I29" i="6" s="1"/>
  <c r="T46" i="5"/>
  <c r="T52" i="5"/>
  <c r="K44" i="6" s="1"/>
  <c r="S52" i="5"/>
  <c r="J44" i="6" s="1"/>
  <c r="T53" i="5"/>
  <c r="K45" i="6" s="1"/>
  <c r="S53" i="5"/>
  <c r="J45" i="6" s="1"/>
  <c r="G45" i="5"/>
  <c r="F53" i="5" s="1"/>
  <c r="M39" i="6" s="1"/>
  <c r="H70" i="3"/>
  <c r="C34" i="5"/>
  <c r="I4" i="6" s="1"/>
  <c r="L15" i="5"/>
  <c r="U55" i="3"/>
  <c r="D3" i="4"/>
  <c r="E15" i="5"/>
  <c r="AC15" i="5" s="1"/>
  <c r="H23" i="5"/>
  <c r="AF8" i="5"/>
  <c r="G23" i="5"/>
  <c r="H26" i="5"/>
  <c r="AG11" i="5"/>
  <c r="W24" i="5"/>
  <c r="W37" i="5" s="1"/>
  <c r="M21" i="6" s="1"/>
  <c r="X24" i="5"/>
  <c r="X37" i="5" s="1"/>
  <c r="N21" i="6" s="1"/>
  <c r="G73" i="3"/>
  <c r="AE61" i="3"/>
  <c r="AE73" i="3" s="1"/>
  <c r="C72" i="3"/>
  <c r="AA60" i="3"/>
  <c r="E53" i="5"/>
  <c r="L39" i="6" s="1"/>
  <c r="AE45" i="5"/>
  <c r="F46" i="5"/>
  <c r="AF61" i="3"/>
  <c r="AF73" i="3" s="1"/>
  <c r="H73" i="3"/>
  <c r="L37" i="5"/>
  <c r="J14" i="6" s="1"/>
  <c r="AB64" i="3"/>
  <c r="AB76" i="3" s="1"/>
  <c r="D76" i="3"/>
  <c r="AG53" i="3"/>
  <c r="W43" i="5"/>
  <c r="X68" i="3"/>
  <c r="X72" i="3" s="1"/>
  <c r="E74" i="3"/>
  <c r="D53" i="5"/>
  <c r="K39" i="6" s="1"/>
  <c r="AC45" i="5"/>
  <c r="C53" i="5"/>
  <c r="J39" i="6" s="1"/>
  <c r="D52" i="5"/>
  <c r="K38" i="6" s="1"/>
  <c r="AC44" i="5"/>
  <c r="C52" i="5"/>
  <c r="J38" i="6" s="1"/>
  <c r="D46" i="5"/>
  <c r="L46" i="5"/>
  <c r="AA44" i="5"/>
  <c r="B52" i="5"/>
  <c r="I38" i="6" s="1"/>
  <c r="B46" i="5"/>
  <c r="V46" i="5"/>
  <c r="U51" i="5"/>
  <c r="L43" i="6" s="1"/>
  <c r="V51" i="5"/>
  <c r="M43" i="6" s="1"/>
  <c r="AE43" i="5"/>
  <c r="W45" i="5"/>
  <c r="W53" i="5" s="1"/>
  <c r="N45" i="6" s="1"/>
  <c r="X70" i="3"/>
  <c r="X76" i="3" s="1"/>
  <c r="M21" i="5"/>
  <c r="M34" i="5" s="1"/>
  <c r="K11" i="6" s="1"/>
  <c r="N21" i="5"/>
  <c r="N34" i="5" s="1"/>
  <c r="L11" i="6" s="1"/>
  <c r="N72" i="3"/>
  <c r="AD68" i="3"/>
  <c r="AD72" i="3" s="1"/>
  <c r="G15" i="5"/>
  <c r="AE15" i="5" s="1"/>
  <c r="F3" i="4"/>
  <c r="L52" i="5"/>
  <c r="K41" i="6" s="1"/>
  <c r="K52" i="5"/>
  <c r="J41" i="6" s="1"/>
  <c r="P24" i="5"/>
  <c r="P37" i="5" s="1"/>
  <c r="N14" i="6" s="1"/>
  <c r="O24" i="5"/>
  <c r="O37" i="5" s="1"/>
  <c r="M14" i="6" s="1"/>
  <c r="T55" i="3"/>
  <c r="AM51" i="5"/>
  <c r="AN46" i="5"/>
  <c r="AN51" i="5"/>
  <c r="AH55" i="3"/>
  <c r="AA45" i="5"/>
  <c r="AA53" i="5" s="1"/>
  <c r="I48" i="6" s="1"/>
  <c r="B53" i="5"/>
  <c r="I39" i="6" s="1"/>
  <c r="I51" i="6" s="1"/>
  <c r="N55" i="3"/>
  <c r="D4" i="4"/>
  <c r="U53" i="5"/>
  <c r="L45" i="6" s="1"/>
  <c r="C74" i="3"/>
  <c r="AE25" i="5"/>
  <c r="O36" i="5"/>
  <c r="M13" i="6" s="1"/>
  <c r="E21" i="5"/>
  <c r="AD6" i="5"/>
  <c r="F21" i="5"/>
  <c r="AG43" i="5"/>
  <c r="AG46" i="5" s="1"/>
  <c r="H46" i="5"/>
  <c r="AN53" i="5"/>
  <c r="AM53" i="5"/>
  <c r="O20" i="5"/>
  <c r="O33" i="5" s="1"/>
  <c r="M10" i="6" s="1"/>
  <c r="P20" i="5"/>
  <c r="P33" i="5" s="1"/>
  <c r="N10" i="6" s="1"/>
  <c r="AF9" i="5"/>
  <c r="H24" i="5"/>
  <c r="G24" i="5"/>
  <c r="E4" i="4"/>
  <c r="W55" i="3"/>
  <c r="E78" i="3"/>
  <c r="AC66" i="3"/>
  <c r="AC78" i="3" s="1"/>
  <c r="AG72" i="3"/>
  <c r="F20" i="5"/>
  <c r="AE5" i="5"/>
  <c r="G20" i="5"/>
  <c r="B3" i="4"/>
  <c r="C15" i="5"/>
  <c r="AA15" i="5" s="1"/>
  <c r="G76" i="3"/>
  <c r="AE70" i="3"/>
  <c r="AE76" i="3" s="1"/>
  <c r="AB10" i="5"/>
  <c r="D25" i="5"/>
  <c r="C25" i="5"/>
  <c r="J52" i="5"/>
  <c r="I41" i="6" s="1"/>
  <c r="J46" i="5"/>
  <c r="W20" i="5"/>
  <c r="W33" i="5" s="1"/>
  <c r="M17" i="6" s="1"/>
  <c r="V20" i="5"/>
  <c r="V33" i="5" s="1"/>
  <c r="L17" i="6" s="1"/>
  <c r="P68" i="3"/>
  <c r="P72" i="3" s="1"/>
  <c r="O43" i="5"/>
  <c r="Y53" i="3"/>
  <c r="AC70" i="3"/>
  <c r="E76" i="3"/>
  <c r="AG70" i="3"/>
  <c r="AG76" i="3" s="1"/>
  <c r="Q76" i="3"/>
  <c r="L55" i="3"/>
  <c r="AD62" i="3"/>
  <c r="AD74" i="3" s="1"/>
  <c r="F74" i="3"/>
  <c r="W72" i="3"/>
  <c r="AE68" i="3"/>
  <c r="AD55" i="3"/>
  <c r="P70" i="3"/>
  <c r="P76" i="3" s="1"/>
  <c r="O45" i="5"/>
  <c r="L25" i="5"/>
  <c r="L36" i="5" s="1"/>
  <c r="J13" i="6" s="1"/>
  <c r="K25" i="5"/>
  <c r="K36" i="5" s="1"/>
  <c r="I13" i="6" s="1"/>
  <c r="AF65" i="3"/>
  <c r="AF77" i="3" s="1"/>
  <c r="H77" i="3"/>
  <c r="M46" i="5"/>
  <c r="M51" i="5"/>
  <c r="L40" i="6" s="1"/>
  <c r="AD43" i="5"/>
  <c r="AC51" i="5" s="1"/>
  <c r="K46" i="6" s="1"/>
  <c r="E27" i="5"/>
  <c r="AC12" i="5"/>
  <c r="H3" i="4"/>
  <c r="I15" i="5"/>
  <c r="AG15" i="5" s="1"/>
  <c r="D32" i="5"/>
  <c r="J2" i="6" s="1"/>
  <c r="C19" i="5"/>
  <c r="AA4" i="5"/>
  <c r="AB26" i="5"/>
  <c r="D34" i="5"/>
  <c r="J4" i="6" s="1"/>
  <c r="AC24" i="5"/>
  <c r="AC37" i="5" s="1"/>
  <c r="K28" i="6" s="1"/>
  <c r="M37" i="5"/>
  <c r="K14" i="6" s="1"/>
  <c r="K35" i="6" s="1"/>
  <c r="AA63" i="3"/>
  <c r="AA75" i="3" s="1"/>
  <c r="C75" i="3"/>
  <c r="X23" i="5"/>
  <c r="X36" i="5" s="1"/>
  <c r="N20" i="6" s="1"/>
  <c r="W23" i="5"/>
  <c r="W36" i="5" s="1"/>
  <c r="M20" i="6" s="1"/>
  <c r="G43" i="5"/>
  <c r="Q53" i="3"/>
  <c r="H68" i="3"/>
  <c r="T15" i="5"/>
  <c r="AC55" i="3"/>
  <c r="H32" i="5"/>
  <c r="N2" i="6" s="1"/>
  <c r="N30" i="6" s="1"/>
  <c r="B4" i="4"/>
  <c r="AD76" i="3" l="1"/>
  <c r="S36" i="5"/>
  <c r="I20" i="6" s="1"/>
  <c r="AA23" i="5"/>
  <c r="AA72" i="3"/>
  <c r="AB46" i="5"/>
  <c r="AB19" i="5"/>
  <c r="AB32" i="5" s="1"/>
  <c r="J23" i="6" s="1"/>
  <c r="L33" i="6"/>
  <c r="AF74" i="3"/>
  <c r="K30" i="6"/>
  <c r="AE72" i="3"/>
  <c r="AC76" i="3"/>
  <c r="J35" i="6"/>
  <c r="X35" i="5"/>
  <c r="N19" i="6" s="1"/>
  <c r="AA20" i="5"/>
  <c r="AA33" i="5" s="1"/>
  <c r="I24" i="6" s="1"/>
  <c r="K33" i="5"/>
  <c r="I10" i="6" s="1"/>
  <c r="I31" i="6" s="1"/>
  <c r="AB21" i="5"/>
  <c r="AB34" i="5" s="1"/>
  <c r="J25" i="6" s="1"/>
  <c r="L34" i="5"/>
  <c r="J11" i="6" s="1"/>
  <c r="J32" i="6" s="1"/>
  <c r="O22" i="5"/>
  <c r="O35" i="5" s="1"/>
  <c r="M12" i="6" s="1"/>
  <c r="AB51" i="5"/>
  <c r="J46" i="6" s="1"/>
  <c r="K51" i="6"/>
  <c r="AB24" i="5"/>
  <c r="AB37" i="5" s="1"/>
  <c r="J28" i="6" s="1"/>
  <c r="F32" i="5"/>
  <c r="L2" i="6" s="1"/>
  <c r="L30" i="6" s="1"/>
  <c r="AD19" i="5"/>
  <c r="AD32" i="5" s="1"/>
  <c r="L23" i="6" s="1"/>
  <c r="AE19" i="5"/>
  <c r="AE32" i="5" s="1"/>
  <c r="M23" i="6" s="1"/>
  <c r="G32" i="5"/>
  <c r="M2" i="6" s="1"/>
  <c r="M30" i="6" s="1"/>
  <c r="E35" i="5"/>
  <c r="K5" i="6" s="1"/>
  <c r="AC28" i="5"/>
  <c r="V53" i="5"/>
  <c r="M45" i="6" s="1"/>
  <c r="J51" i="6"/>
  <c r="AA21" i="5"/>
  <c r="AA34" i="5" s="1"/>
  <c r="I25" i="6" s="1"/>
  <c r="L35" i="5"/>
  <c r="J12" i="6" s="1"/>
  <c r="J33" i="6" s="1"/>
  <c r="AB22" i="5"/>
  <c r="AB35" i="5" s="1"/>
  <c r="J26" i="6" s="1"/>
  <c r="D33" i="5"/>
  <c r="J3" i="6" s="1"/>
  <c r="J31" i="6" s="1"/>
  <c r="AB20" i="5"/>
  <c r="AB33" i="5" s="1"/>
  <c r="J24" i="6" s="1"/>
  <c r="H38" i="5"/>
  <c r="N8" i="6" s="1"/>
  <c r="N36" i="6" s="1"/>
  <c r="AF27" i="5"/>
  <c r="AF38" i="5" s="1"/>
  <c r="N29" i="6" s="1"/>
  <c r="M50" i="6"/>
  <c r="K37" i="5"/>
  <c r="I14" i="6" s="1"/>
  <c r="I35" i="6" s="1"/>
  <c r="AA24" i="5"/>
  <c r="AA37" i="5" s="1"/>
  <c r="I28" i="6" s="1"/>
  <c r="AC22" i="5"/>
  <c r="M35" i="5"/>
  <c r="K12" i="6" s="1"/>
  <c r="K33" i="6" s="1"/>
  <c r="W22" i="5"/>
  <c r="W35" i="5" s="1"/>
  <c r="M19" i="6" s="1"/>
  <c r="AD28" i="5"/>
  <c r="AF52" i="5"/>
  <c r="N47" i="6" s="1"/>
  <c r="AF19" i="5"/>
  <c r="AF32" i="5" s="1"/>
  <c r="N23" i="6" s="1"/>
  <c r="AC46" i="5"/>
  <c r="H75" i="3"/>
  <c r="AF63" i="3"/>
  <c r="AF75" i="3" s="1"/>
  <c r="G38" i="5"/>
  <c r="M8" i="6" s="1"/>
  <c r="M36" i="6" s="1"/>
  <c r="AE27" i="5"/>
  <c r="AE38" i="5" s="1"/>
  <c r="M29" i="6" s="1"/>
  <c r="AC20" i="5"/>
  <c r="AC33" i="5" s="1"/>
  <c r="K24" i="6" s="1"/>
  <c r="N50" i="6"/>
  <c r="E36" i="5"/>
  <c r="K6" i="6" s="1"/>
  <c r="K34" i="6" s="1"/>
  <c r="AC23" i="5"/>
  <c r="AC36" i="5" s="1"/>
  <c r="K27" i="6" s="1"/>
  <c r="AC19" i="5"/>
  <c r="AC32" i="5" s="1"/>
  <c r="K23" i="6" s="1"/>
  <c r="J30" i="6"/>
  <c r="L51" i="6"/>
  <c r="I32" i="6"/>
  <c r="AG74" i="3"/>
  <c r="AE21" i="5"/>
  <c r="AE34" i="5" s="1"/>
  <c r="M25" i="6" s="1"/>
  <c r="AD23" i="5"/>
  <c r="AD36" i="5" s="1"/>
  <c r="L27" i="6" s="1"/>
  <c r="F36" i="5"/>
  <c r="L6" i="6" s="1"/>
  <c r="L34" i="6" s="1"/>
  <c r="AE74" i="3"/>
  <c r="AD22" i="5"/>
  <c r="G22" i="5"/>
  <c r="H22" i="5"/>
  <c r="H35" i="5" s="1"/>
  <c r="N5" i="6" s="1"/>
  <c r="AF7" i="5"/>
  <c r="AA51" i="5"/>
  <c r="I46" i="6" s="1"/>
  <c r="AE52" i="5"/>
  <c r="M47" i="6" s="1"/>
  <c r="K31" i="6"/>
  <c r="AD24" i="5"/>
  <c r="AD37" i="5" s="1"/>
  <c r="L28" i="6" s="1"/>
  <c r="AB23" i="5"/>
  <c r="L49" i="6"/>
  <c r="B11" i="4"/>
  <c r="D11" i="4"/>
  <c r="G37" i="5"/>
  <c r="M7" i="6" s="1"/>
  <c r="M35" i="6" s="1"/>
  <c r="AE24" i="5"/>
  <c r="AE37" i="5" s="1"/>
  <c r="M28" i="6" s="1"/>
  <c r="O53" i="5"/>
  <c r="N42" i="6" s="1"/>
  <c r="N53" i="5"/>
  <c r="M42" i="6" s="1"/>
  <c r="M51" i="6" s="1"/>
  <c r="D36" i="5"/>
  <c r="J6" i="6" s="1"/>
  <c r="J34" i="6" s="1"/>
  <c r="AB25" i="5"/>
  <c r="AB36" i="5" s="1"/>
  <c r="J27" i="6" s="1"/>
  <c r="F33" i="5"/>
  <c r="L3" i="6" s="1"/>
  <c r="L31" i="6" s="1"/>
  <c r="AD20" i="5"/>
  <c r="AD33" i="5" s="1"/>
  <c r="L24" i="6" s="1"/>
  <c r="AE46" i="5"/>
  <c r="B5" i="4"/>
  <c r="B12" i="4"/>
  <c r="AD46" i="5"/>
  <c r="AD51" i="5"/>
  <c r="L46" i="6" s="1"/>
  <c r="O51" i="5"/>
  <c r="N40" i="6" s="1"/>
  <c r="N51" i="5"/>
  <c r="M40" i="6" s="1"/>
  <c r="O46" i="5"/>
  <c r="E12" i="4"/>
  <c r="E5" i="4"/>
  <c r="I50" i="6"/>
  <c r="J50" i="6"/>
  <c r="AC53" i="5"/>
  <c r="K48" i="6" s="1"/>
  <c r="AB53" i="5"/>
  <c r="J48" i="6" s="1"/>
  <c r="W51" i="5"/>
  <c r="N43" i="6" s="1"/>
  <c r="W46" i="5"/>
  <c r="AF26" i="5"/>
  <c r="AF34" i="5" s="1"/>
  <c r="N25" i="6" s="1"/>
  <c r="H34" i="5"/>
  <c r="N4" i="6" s="1"/>
  <c r="N32" i="6" s="1"/>
  <c r="AA22" i="5"/>
  <c r="AA35" i="5" s="1"/>
  <c r="I26" i="6" s="1"/>
  <c r="C35" i="5"/>
  <c r="I5" i="6" s="1"/>
  <c r="I33" i="6" s="1"/>
  <c r="H33" i="5"/>
  <c r="N3" i="6" s="1"/>
  <c r="N31" i="6" s="1"/>
  <c r="AF20" i="5"/>
  <c r="AF33" i="5" s="1"/>
  <c r="N24" i="6" s="1"/>
  <c r="H5" i="4"/>
  <c r="C32" i="5"/>
  <c r="I2" i="6" s="1"/>
  <c r="I30" i="6" s="1"/>
  <c r="AA19" i="5"/>
  <c r="AA32" i="5" s="1"/>
  <c r="I23" i="6" s="1"/>
  <c r="E34" i="5"/>
  <c r="K4" i="6" s="1"/>
  <c r="K32" i="6" s="1"/>
  <c r="AC21" i="5"/>
  <c r="AC34" i="5" s="1"/>
  <c r="K25" i="6" s="1"/>
  <c r="AC52" i="5"/>
  <c r="K47" i="6" s="1"/>
  <c r="AB52" i="5"/>
  <c r="J47" i="6" s="1"/>
  <c r="AA52" i="5"/>
  <c r="I47" i="6" s="1"/>
  <c r="AA46" i="5"/>
  <c r="AD53" i="5"/>
  <c r="L48" i="6" s="1"/>
  <c r="AE23" i="5"/>
  <c r="AE36" i="5" s="1"/>
  <c r="M27" i="6" s="1"/>
  <c r="G36" i="5"/>
  <c r="M6" i="6" s="1"/>
  <c r="M34" i="6" s="1"/>
  <c r="E11" i="4"/>
  <c r="AA25" i="5"/>
  <c r="C36" i="5"/>
  <c r="I6" i="6" s="1"/>
  <c r="I34" i="6" s="1"/>
  <c r="AF24" i="5"/>
  <c r="AF37" i="5" s="1"/>
  <c r="N28" i="6" s="1"/>
  <c r="H37" i="5"/>
  <c r="N7" i="6" s="1"/>
  <c r="N35" i="6" s="1"/>
  <c r="K50" i="6"/>
  <c r="AF70" i="3"/>
  <c r="C11" i="4"/>
  <c r="C5" i="4"/>
  <c r="F5" i="4"/>
  <c r="H76" i="3"/>
  <c r="AF68" i="3"/>
  <c r="AF72" i="3" s="1"/>
  <c r="H72" i="3"/>
  <c r="G33" i="5"/>
  <c r="M3" i="6" s="1"/>
  <c r="M31" i="6" s="1"/>
  <c r="AE20" i="5"/>
  <c r="AE33" i="5" s="1"/>
  <c r="M24" i="6" s="1"/>
  <c r="G51" i="5"/>
  <c r="N37" i="6" s="1"/>
  <c r="G46" i="5"/>
  <c r="AF43" i="5"/>
  <c r="F51" i="5"/>
  <c r="M37" i="6" s="1"/>
  <c r="AC27" i="5"/>
  <c r="AC38" i="5" s="1"/>
  <c r="K29" i="6" s="1"/>
  <c r="E38" i="5"/>
  <c r="K8" i="6" s="1"/>
  <c r="K36" i="6" s="1"/>
  <c r="AD21" i="5"/>
  <c r="AD34" i="5" s="1"/>
  <c r="L25" i="6" s="1"/>
  <c r="F34" i="5"/>
  <c r="L4" i="6" s="1"/>
  <c r="L32" i="6" s="1"/>
  <c r="D12" i="4"/>
  <c r="C12" i="4"/>
  <c r="D5" i="4"/>
  <c r="AF23" i="5"/>
  <c r="AF36" i="5" s="1"/>
  <c r="N27" i="6" s="1"/>
  <c r="H36" i="5"/>
  <c r="N6" i="6" s="1"/>
  <c r="N34" i="6" s="1"/>
  <c r="AF45" i="5"/>
  <c r="AF53" i="5" s="1"/>
  <c r="N48" i="6" s="1"/>
  <c r="G53" i="5"/>
  <c r="N39" i="6" s="1"/>
  <c r="AB15" i="5"/>
  <c r="AF76" i="3"/>
  <c r="AC35" i="5" l="1"/>
  <c r="K26" i="6" s="1"/>
  <c r="AA36" i="5"/>
  <c r="I27" i="6" s="1"/>
  <c r="N49" i="6"/>
  <c r="AD35" i="5"/>
  <c r="L26" i="6" s="1"/>
  <c r="N51" i="6"/>
  <c r="G35" i="5"/>
  <c r="M5" i="6" s="1"/>
  <c r="M33" i="6" s="1"/>
  <c r="AE22" i="5"/>
  <c r="AE35" i="5" s="1"/>
  <c r="M26" i="6" s="1"/>
  <c r="N33" i="6"/>
  <c r="AE53" i="5"/>
  <c r="M48" i="6" s="1"/>
  <c r="AF22" i="5"/>
  <c r="AF35" i="5" s="1"/>
  <c r="N26" i="6" s="1"/>
  <c r="M49" i="6"/>
  <c r="D13" i="4"/>
  <c r="AF46" i="5"/>
  <c r="AF51" i="5"/>
  <c r="N46" i="6" s="1"/>
  <c r="E13" i="4"/>
  <c r="E7" i="4"/>
  <c r="B7" i="4"/>
  <c r="B13" i="4"/>
  <c r="C13" i="4"/>
  <c r="AE51" i="5"/>
  <c r="M4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400-000001000000}">
      <text>
        <r>
          <rPr>
            <b/>
            <sz val="8"/>
            <color indexed="81"/>
            <rFont val="Tahoma"/>
            <family val="2"/>
          </rPr>
          <t>Author:</t>
        </r>
        <r>
          <rPr>
            <sz val="8"/>
            <color indexed="81"/>
            <rFont val="Tahoma"/>
            <family val="2"/>
          </rPr>
          <t xml:space="preserve">
95 coal, 10 lignite, 2 multi-fuel
</t>
        </r>
      </text>
    </comment>
    <comment ref="E5" authorId="0" shapeId="0" xr:uid="{00000000-0006-0000-0400-000002000000}">
      <text>
        <r>
          <rPr>
            <b/>
            <sz val="8"/>
            <color indexed="81"/>
            <rFont val="Tahoma"/>
            <family val="2"/>
          </rPr>
          <t>Author:</t>
        </r>
        <r>
          <rPr>
            <sz val="8"/>
            <color indexed="81"/>
            <rFont val="Tahoma"/>
            <family val="2"/>
          </rPr>
          <t xml:space="preserve">
88 coal, 9 lignite, 2 multi fuel
</t>
        </r>
      </text>
    </comment>
    <comment ref="F5" authorId="0" shapeId="0" xr:uid="{00000000-0006-0000-0400-000003000000}">
      <text>
        <r>
          <rPr>
            <b/>
            <sz val="8"/>
            <color indexed="81"/>
            <rFont val="Tahoma"/>
            <family val="2"/>
          </rPr>
          <t>Author:</t>
        </r>
        <r>
          <rPr>
            <sz val="8"/>
            <color indexed="81"/>
            <rFont val="Tahoma"/>
            <family val="2"/>
          </rPr>
          <t xml:space="preserve">
87 coal, 8 lignite, 2 multi fuel</t>
        </r>
      </text>
    </comment>
    <comment ref="G5" authorId="0" shapeId="0" xr:uid="{00000000-0006-0000-0400-000004000000}">
      <text>
        <r>
          <rPr>
            <b/>
            <sz val="8"/>
            <color indexed="81"/>
            <rFont val="Tahoma"/>
            <family val="2"/>
          </rPr>
          <t>Author:</t>
        </r>
        <r>
          <rPr>
            <sz val="8"/>
            <color indexed="81"/>
            <rFont val="Tahoma"/>
            <family val="2"/>
          </rPr>
          <t xml:space="preserve">
87 coal, 6 lignite, 4 multi fuel</t>
        </r>
      </text>
    </comment>
    <comment ref="H5" authorId="0" shapeId="0" xr:uid="{00000000-0006-0000-0400-000005000000}">
      <text>
        <r>
          <rPr>
            <b/>
            <sz val="8"/>
            <color indexed="81"/>
            <rFont val="Tahoma"/>
            <family val="2"/>
          </rPr>
          <t>Author:</t>
        </r>
        <r>
          <rPr>
            <sz val="8"/>
            <color indexed="81"/>
            <rFont val="Tahoma"/>
            <family val="2"/>
          </rPr>
          <t xml:space="preserve">
85 coal, 7 lignite and 3 multi fuel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43" authorId="0" shapeId="0" xr:uid="{00000000-0006-0000-0600-000001000000}">
      <text>
        <r>
          <rPr>
            <b/>
            <sz val="8"/>
            <color indexed="81"/>
            <rFont val="Tahoma"/>
            <family val="2"/>
          </rPr>
          <t>Author:</t>
        </r>
        <r>
          <rPr>
            <sz val="8"/>
            <color indexed="81"/>
            <rFont val="Tahoma"/>
            <family val="2"/>
          </rPr>
          <t xml:space="preserve">
Open Cycle
</t>
        </r>
      </text>
    </comment>
    <comment ref="B44" authorId="0" shapeId="0" xr:uid="{00000000-0006-0000-0600-000002000000}">
      <text>
        <r>
          <rPr>
            <b/>
            <sz val="8"/>
            <color indexed="81"/>
            <rFont val="Tahoma"/>
            <family val="2"/>
          </rPr>
          <t>Author:</t>
        </r>
        <r>
          <rPr>
            <sz val="8"/>
            <color indexed="81"/>
            <rFont val="Tahoma"/>
            <family val="2"/>
          </rPr>
          <t xml:space="preserve">
Open Cycle
</t>
        </r>
      </text>
    </comment>
    <comment ref="B47" authorId="0" shapeId="0" xr:uid="{00000000-0006-0000-0600-000003000000}">
      <text>
        <r>
          <rPr>
            <b/>
            <sz val="8"/>
            <color indexed="81"/>
            <rFont val="Tahoma"/>
            <family val="2"/>
          </rPr>
          <t>Author:</t>
        </r>
        <r>
          <rPr>
            <sz val="8"/>
            <color indexed="81"/>
            <rFont val="Tahoma"/>
            <family val="2"/>
          </rPr>
          <t xml:space="preserve">
Open Cycle
</t>
        </r>
      </text>
    </comment>
    <comment ref="B48" authorId="0" shapeId="0" xr:uid="{00000000-0006-0000-0600-000004000000}">
      <text>
        <r>
          <rPr>
            <b/>
            <sz val="8"/>
            <color indexed="81"/>
            <rFont val="Tahoma"/>
            <family val="2"/>
          </rPr>
          <t>Author:</t>
        </r>
        <r>
          <rPr>
            <sz val="8"/>
            <color indexed="81"/>
            <rFont val="Tahoma"/>
            <family val="2"/>
          </rPr>
          <t xml:space="preserve">
Open Cycle
</t>
        </r>
      </text>
    </comment>
  </commentList>
</comments>
</file>

<file path=xl/sharedStrings.xml><?xml version="1.0" encoding="utf-8"?>
<sst xmlns="http://schemas.openxmlformats.org/spreadsheetml/2006/main" count="969" uniqueCount="221">
  <si>
    <t>2012-13</t>
  </si>
  <si>
    <t>Monitored</t>
  </si>
  <si>
    <t>Total C/LPPs</t>
  </si>
  <si>
    <t>Lignite (kt)</t>
  </si>
  <si>
    <t>Coal (kt)</t>
  </si>
  <si>
    <t>Furnace Oil (kt)</t>
  </si>
  <si>
    <t>LDO/HSD (kt)</t>
  </si>
  <si>
    <t>LSHS/ HHS (kt)</t>
  </si>
  <si>
    <t>GAS (t)</t>
  </si>
  <si>
    <t>Chapter 7- Operating Data (Utilities)</t>
  </si>
  <si>
    <t>7.1 Fuel Consumption TPPs (Utilities)</t>
  </si>
  <si>
    <t>Gross Gen (GWh)</t>
  </si>
  <si>
    <t>Coal Stations</t>
  </si>
  <si>
    <t>HSD (kl)</t>
  </si>
  <si>
    <t>Naptha (kl)</t>
  </si>
  <si>
    <t>Generation (GWh)</t>
  </si>
  <si>
    <t xml:space="preserve">Gas Stations </t>
  </si>
  <si>
    <t>Nat Gas(MMSCM)</t>
  </si>
  <si>
    <t>Diesel Stations</t>
  </si>
  <si>
    <t>LSHS (kl)</t>
  </si>
  <si>
    <t>Diesel (kl)</t>
  </si>
  <si>
    <t xml:space="preserve">C/LPP Efficiency </t>
  </si>
  <si>
    <t>7.3 C/LPPs (Utilities)</t>
  </si>
  <si>
    <t>Coal (Mt)</t>
  </si>
  <si>
    <t>Lignite (Mt)</t>
  </si>
  <si>
    <t>Furnace Oil (kl)</t>
  </si>
  <si>
    <t>LSHS/HHS (kl)</t>
  </si>
  <si>
    <t>2003-04</t>
  </si>
  <si>
    <t>2004-05</t>
  </si>
  <si>
    <t>2005-06</t>
  </si>
  <si>
    <t>2006-07</t>
  </si>
  <si>
    <t>2007-08</t>
  </si>
  <si>
    <t>2008-09</t>
  </si>
  <si>
    <t>2009-10</t>
  </si>
  <si>
    <t>2010-11</t>
  </si>
  <si>
    <t>2011-12</t>
  </si>
  <si>
    <t xml:space="preserve">Avg. Calorific Value </t>
  </si>
  <si>
    <t>kcal/kg</t>
  </si>
  <si>
    <t>kcal/lt</t>
  </si>
  <si>
    <t>SFC (kg/kWh)</t>
  </si>
  <si>
    <t>Requirement</t>
  </si>
  <si>
    <t>7.7 Coal Consumption vs Requirement in C/LPPs (kt)</t>
  </si>
  <si>
    <t>CIL/SCCL</t>
  </si>
  <si>
    <t>Other Souce</t>
  </si>
  <si>
    <t xml:space="preserve">Import </t>
  </si>
  <si>
    <t xml:space="preserve">Total </t>
  </si>
  <si>
    <t>Consumption</t>
  </si>
  <si>
    <t>Consumption/Total</t>
  </si>
  <si>
    <t>Consumption/Requirement</t>
  </si>
  <si>
    <t>Hydro</t>
  </si>
  <si>
    <t>Steam</t>
  </si>
  <si>
    <t xml:space="preserve">Diesel </t>
  </si>
  <si>
    <t xml:space="preserve">Gas </t>
  </si>
  <si>
    <t>Wind</t>
  </si>
  <si>
    <t>Total</t>
  </si>
  <si>
    <t>Auxiliary</t>
  </si>
  <si>
    <t>Net Gen</t>
  </si>
  <si>
    <t>Export to utilities</t>
  </si>
  <si>
    <t>Own Consumption</t>
  </si>
  <si>
    <t>Import</t>
  </si>
  <si>
    <t>Industrial Consumption</t>
  </si>
  <si>
    <t>5.5 Mode-wise Generation and Utilisation (Non-Utilities/ Industries 1 MW or above) (GWh)</t>
  </si>
  <si>
    <t>C/LPP</t>
  </si>
  <si>
    <t>Gas</t>
  </si>
  <si>
    <t>Nuclear</t>
  </si>
  <si>
    <t>6.5 Auxiliary Consumption (Utilities)</t>
  </si>
  <si>
    <t>31891 t+ 26 MMSCM</t>
  </si>
  <si>
    <t>CO2 EF (t/TJ)</t>
  </si>
  <si>
    <t>Coking coal</t>
  </si>
  <si>
    <t>Non-coking coal</t>
  </si>
  <si>
    <t>Lignite</t>
  </si>
  <si>
    <t>Charcoal</t>
  </si>
  <si>
    <t>Kerosene</t>
  </si>
  <si>
    <t>Fuel oil</t>
  </si>
  <si>
    <t>CNG</t>
  </si>
  <si>
    <t>LPG</t>
  </si>
  <si>
    <t>Lubricants</t>
  </si>
  <si>
    <t>ATF</t>
  </si>
  <si>
    <t>LSHS</t>
  </si>
  <si>
    <t>Utilities</t>
  </si>
  <si>
    <t>Captive (&gt;=1 MW)</t>
  </si>
  <si>
    <t>Fuel Use</t>
  </si>
  <si>
    <t>Efficiency</t>
  </si>
  <si>
    <t>GHR (Utilities) (kWh/kWh)</t>
  </si>
  <si>
    <t>kWh</t>
  </si>
  <si>
    <t>1 kcal =</t>
  </si>
  <si>
    <t>GHR (non-utilities @5% higher GHR)</t>
  </si>
  <si>
    <t>NCV (Tj/kt)</t>
  </si>
  <si>
    <t>Other Assumptions</t>
  </si>
  <si>
    <t>Density of fuel</t>
  </si>
  <si>
    <t>Value</t>
  </si>
  <si>
    <t>Unit</t>
  </si>
  <si>
    <t>Source</t>
  </si>
  <si>
    <t>KL/t</t>
  </si>
  <si>
    <t>http://petroleum.nic.in/docs/readyrecknor_May14.pdf</t>
  </si>
  <si>
    <t>Kerosene (SKO)</t>
  </si>
  <si>
    <t>Light Diesel Oil (LDO)</t>
  </si>
  <si>
    <t>Crude oil</t>
  </si>
  <si>
    <t>natural gas</t>
  </si>
  <si>
    <t>kg/SCM</t>
  </si>
  <si>
    <t>http://www.gailonline.com/final_site/energyconversionmatrix.html</t>
  </si>
  <si>
    <t>Fuel Use (TJ)</t>
  </si>
  <si>
    <t xml:space="preserve">1 TWh= </t>
  </si>
  <si>
    <t>TJ</t>
  </si>
  <si>
    <t>Gross Generation (GWh)</t>
  </si>
  <si>
    <t>Fuel Use (TJ</t>
  </si>
  <si>
    <t xml:space="preserve">Coal </t>
  </si>
  <si>
    <t xml:space="preserve">Furnace Oil </t>
  </si>
  <si>
    <t xml:space="preserve">LDO/HSD </t>
  </si>
  <si>
    <t xml:space="preserve">LSHS/ HHS </t>
  </si>
  <si>
    <t xml:space="preserve">Lignite </t>
  </si>
  <si>
    <t>Nat Gas</t>
  </si>
  <si>
    <t xml:space="preserve">HSD </t>
  </si>
  <si>
    <t xml:space="preserve">Naptha </t>
  </si>
  <si>
    <t xml:space="preserve">LSHS </t>
  </si>
  <si>
    <t>Light distillates/ Naptha</t>
  </si>
  <si>
    <t xml:space="preserve">Utilities </t>
  </si>
  <si>
    <t>Emissions (MtCO2)</t>
  </si>
  <si>
    <t>Emissions CH4 (MtCO2e)</t>
  </si>
  <si>
    <t>Emissions N20 (MtCO2e)</t>
  </si>
  <si>
    <t>Gross Emissions (Mt)</t>
  </si>
  <si>
    <t>Utility+Captive (Mt)</t>
  </si>
  <si>
    <t>Captive (&gt;1 MW)</t>
  </si>
  <si>
    <t>EMISSIONS (MT CO2e)</t>
  </si>
  <si>
    <t>LDO/HSD (kl)</t>
  </si>
  <si>
    <t>LSHS/ HHS (kl)</t>
  </si>
  <si>
    <t>MoEF</t>
  </si>
  <si>
    <t>Calendar Year Emissions (MtCO2e)</t>
  </si>
  <si>
    <t>Petrol (MS)/ Naptha</t>
  </si>
  <si>
    <t>Furnace Oil (FO)/Diesel Oil/Fuel Oil/LSHS/HHS</t>
  </si>
  <si>
    <t>Diesel (HSD)</t>
  </si>
  <si>
    <t>INCCA (CO2)</t>
  </si>
  <si>
    <t>IPCC (CH4, N20)</t>
  </si>
  <si>
    <t>Wood/Biomass</t>
  </si>
  <si>
    <t>CH4 EF (kg/TJ)</t>
  </si>
  <si>
    <t>Diesel/LDO</t>
  </si>
  <si>
    <t xml:space="preserve">GAS </t>
  </si>
  <si>
    <t>MtCO2</t>
  </si>
  <si>
    <t>MtCH4</t>
  </si>
  <si>
    <t>Captive</t>
  </si>
  <si>
    <t>Coal</t>
  </si>
  <si>
    <t>MtN2O</t>
  </si>
  <si>
    <t>Emissions CH4 (Mt)</t>
  </si>
  <si>
    <t>Emissions N20 (Mt)</t>
  </si>
  <si>
    <t xml:space="preserve">Calender year </t>
  </si>
  <si>
    <t>Emissions (MtCO2eq)</t>
  </si>
  <si>
    <t>UTILITIES</t>
  </si>
  <si>
    <t>Aggregate</t>
  </si>
  <si>
    <t>CAPTIVE</t>
  </si>
  <si>
    <t>Level 1 - Sector</t>
  </si>
  <si>
    <t>Level 2</t>
  </si>
  <si>
    <t>Level 3</t>
  </si>
  <si>
    <t>Level 4</t>
  </si>
  <si>
    <t>Level 5</t>
  </si>
  <si>
    <t>Level 6</t>
  </si>
  <si>
    <t>Emission / Removal / Bunker</t>
  </si>
  <si>
    <t>Energy</t>
  </si>
  <si>
    <t>Fuel Combustion Emissions</t>
  </si>
  <si>
    <t>Public Electricity Generation</t>
  </si>
  <si>
    <t>DO NOT APPLY</t>
  </si>
  <si>
    <t>Public Service Power Plants</t>
  </si>
  <si>
    <t>Emission</t>
  </si>
  <si>
    <t>CO2 (t)</t>
  </si>
  <si>
    <t>CH4(t)</t>
  </si>
  <si>
    <t>N2O(t)</t>
  </si>
  <si>
    <t>CO2eq(Mt GWP)</t>
  </si>
  <si>
    <t>CO2eq(Mt GTP)</t>
  </si>
  <si>
    <t>GWP</t>
  </si>
  <si>
    <t>GTP</t>
  </si>
  <si>
    <t>CH4</t>
  </si>
  <si>
    <t>N2O</t>
  </si>
  <si>
    <t>Natural gas</t>
  </si>
  <si>
    <t>Industries</t>
  </si>
  <si>
    <t>Self Producers Power Plants</t>
  </si>
  <si>
    <t>Fuel use (ktoe)</t>
  </si>
  <si>
    <t>1 TJ</t>
  </si>
  <si>
    <t>ktoe</t>
  </si>
  <si>
    <t>N2O EF (kg/TJ)</t>
  </si>
  <si>
    <t>CEA, General Review</t>
  </si>
  <si>
    <t>CEA, CO2 baseline</t>
  </si>
  <si>
    <t>CSE, Challenge of the new balance (2010)</t>
  </si>
  <si>
    <t>IDFC, India Infrastucture Report (2010)</t>
  </si>
  <si>
    <t>Sector</t>
  </si>
  <si>
    <t xml:space="preserve">Electricity Generation and Energy </t>
  </si>
  <si>
    <t>Time Series</t>
  </si>
  <si>
    <t>2007-2012</t>
  </si>
  <si>
    <t>Level of Disaggregation</t>
  </si>
  <si>
    <t>National level data</t>
  </si>
  <si>
    <t>Sub-sector Disaggregation</t>
  </si>
  <si>
    <t>Electricity, Fugitive, Transport, Others - Residential, Commercial &amp; Agriculture</t>
  </si>
  <si>
    <t>Sector Description</t>
  </si>
  <si>
    <t>About GHG Platform</t>
  </si>
  <si>
    <t>Lead Institution</t>
  </si>
  <si>
    <t>Contact Details</t>
  </si>
  <si>
    <t>Usage Policy</t>
  </si>
  <si>
    <t>Citation</t>
  </si>
  <si>
    <t>Disclaimer</t>
  </si>
  <si>
    <t>info@ghgplatform-india.org, sahil@cstep.in</t>
  </si>
  <si>
    <t>Version</t>
  </si>
  <si>
    <t>CSTEP has analysed emissions from energy production and use in the Electricity Generation, Transportation and Other (Residential, Commercial, Agriculture and Fisheries) sectors. Together these constitute over 60% of India’s emissions. Emissions from energy use in fuel production (mining and refineries) have been reported in Industry but fugitive emissions have been reported in Energy, as per IPCC 2006 guidelines. The data used has been sourced from public sources to the extent possible. Assumptions and methodologies have been made transparent for further analysis outside the GHG Platform India. The exercise forms the basis to measure India’s climate performance and stimulate data-driven policy decisions.</t>
  </si>
  <si>
    <t xml:space="preserve">Any re-production or re-distribution of the material(s) and information displayed and published on this Website/GHG Platform India/Portal shall be accompanied by a due acknowledgment and credit to the GHG Platform India for such material(s) and information.
You must give appropriate credit, provide a link, and indicate if changes were made. You may do so in any reasonable manner, but not in any way that suggests the GHG Platform India endorses you or your use. Data sheets may be revised or updated from time to time. The latest version of each data sheet will be posted on the website. To keep abreast of these changes, please email us at info@ghgplatform-india.org so that we may inform you when data sheets have been updated. </t>
  </si>
  <si>
    <t xml:space="preserve">The GHG Platform India is a collective Indian civil-society initiative providing an independent sector and economy wide estimation and analysis of India’s greenhouse gas (GHG) emissions from 2007 to 2012.  The platform comprises of eminent organisations namely, Council on Energy, Environment and Water, Center for Study of Science, Technology and Policy (CSTEP), ICLEI South Asia, Shakti Sustainable Energy Foundation, Vasudha Foundation and WRI-India.  </t>
  </si>
  <si>
    <t>Center for Study of Science, Technology and Policy (CSTEP)</t>
  </si>
  <si>
    <t xml:space="preserve">"The data used for arriving at the results of this study is from published, secondary sources, or wholly or in part from official sources that have been duly acknowledged. The veracity of the data has been corroborated to the maximum extent possible.  However, the GHG Platform India shall not be held liable and responsible to establish the veracity of or corroborate such content or data and shall not be responsible or liable for any consequences that arise from and / or any harm or loss caused by way of placing reliance on the material(s) and information displayed and published on the website or by further use and analysis of the results of this study."  </t>
  </si>
  <si>
    <t>MtCO2e</t>
  </si>
  <si>
    <t>Tabs</t>
  </si>
  <si>
    <t>Description</t>
  </si>
  <si>
    <t>Final Results</t>
  </si>
  <si>
    <t>Summary</t>
  </si>
  <si>
    <t>Factors and Conversions</t>
  </si>
  <si>
    <t>Activity &amp; Emissions</t>
  </si>
  <si>
    <t>Calculations</t>
  </si>
  <si>
    <t>Final emissions for Electricity Generation (all gases, all activities from 2007-12)</t>
  </si>
  <si>
    <t>Summary of total emissions from utlities and captive generation (2007-12)</t>
  </si>
  <si>
    <t>Emissions factors used for conversion</t>
  </si>
  <si>
    <t xml:space="preserve">Emissions by activity type </t>
  </si>
  <si>
    <t>Emissions calculation for utilities and captive</t>
  </si>
  <si>
    <t xml:space="preserve">Raw Data </t>
  </si>
  <si>
    <t xml:space="preserve">Data obtained from Central Electricity Authority </t>
  </si>
  <si>
    <t>2.0 Posted on August 31, 2016</t>
  </si>
  <si>
    <t xml:space="preserve">Ali, Mohd. Sahil., Rachel, R., Lakshmi, A., Ananthakumar, Murali R., (2016). Energy Emissions. Version 2.0 dated August 31, 2016, from GHG platform India: GHG platform INDIA-2007-2012 National Estimates-2016 Series http://ghgplatform-india.org/data-and-emissions/energy. html
In instances where this sheet is used along with any other sector sheet on this website, the suggested citation is “GHG platform INDIA 2007-2012 National Estimates - 2016 Series”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</si>
</sst>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_ * #,##0_ ;_ * \-#,##0_ ;_ * &quot;-&quot;??_ ;_ @_ "/>
    <numFmt numFmtId="166" formatCode="0.000"/>
    <numFmt numFmtId="167" formatCode="0.0"/>
    <numFmt numFmtId="168" formatCode="0.0000000000"/>
  </numFmts>
  <fonts count="30" x14ac:knownFonts="1">
    <font>
      <sz val="11"/>
      <color theme="1"/>
      <name val="Calibri"/>
      <family val="2"/>
      <scheme val="minor"/>
    </font>
    <font>
      <sz val="11"/>
      <color theme="1"/>
      <name val="Calibri"/>
      <family val="2"/>
      <scheme val="minor"/>
    </font>
    <font>
      <sz val="8"/>
      <color indexed="81"/>
      <name val="Tahoma"/>
      <family val="2"/>
    </font>
    <font>
      <b/>
      <sz val="8"/>
      <color indexed="81"/>
      <name val="Tahoma"/>
      <family val="2"/>
    </font>
    <font>
      <sz val="11"/>
      <color rgb="FF006100"/>
      <name val="Calibri"/>
      <family val="2"/>
      <scheme val="minor"/>
    </font>
    <font>
      <sz val="11"/>
      <color rgb="FF9C6500"/>
      <name val="Calibri"/>
      <family val="2"/>
      <scheme val="minor"/>
    </font>
    <font>
      <b/>
      <sz val="11"/>
      <color rgb="FFFA7D00"/>
      <name val="Calibri"/>
      <family val="2"/>
      <scheme val="minor"/>
    </font>
    <font>
      <u/>
      <sz val="11"/>
      <color theme="10"/>
      <name val="Calibri"/>
      <family val="2"/>
    </font>
    <font>
      <sz val="12"/>
      <color theme="1"/>
      <name val="Times New Roman"/>
      <family val="1"/>
    </font>
    <font>
      <b/>
      <sz val="12"/>
      <color rgb="FFFA7D00"/>
      <name val="Times New Roman"/>
      <family val="1"/>
    </font>
    <font>
      <i/>
      <sz val="12"/>
      <color theme="1"/>
      <name val="Times New Roman"/>
      <family val="1"/>
    </font>
    <font>
      <b/>
      <sz val="12"/>
      <color theme="1"/>
      <name val="Times New Roman"/>
      <family val="1"/>
    </font>
    <font>
      <b/>
      <i/>
      <sz val="12"/>
      <color theme="1"/>
      <name val="Times New Roman"/>
      <family val="1"/>
    </font>
    <font>
      <u/>
      <sz val="12"/>
      <color theme="10"/>
      <name val="Times New Roman"/>
      <family val="1"/>
    </font>
    <font>
      <sz val="12"/>
      <color rgb="FF006100"/>
      <name val="Times New Roman"/>
      <family val="1"/>
    </font>
    <font>
      <sz val="12"/>
      <color rgb="FF9C6500"/>
      <name val="Times New Roman"/>
      <family val="1"/>
    </font>
    <font>
      <sz val="12"/>
      <name val="Times New Roman"/>
      <family val="1"/>
    </font>
    <font>
      <u/>
      <sz val="12"/>
      <color theme="1"/>
      <name val="Times New Roman"/>
      <family val="1"/>
    </font>
    <font>
      <b/>
      <u/>
      <sz val="12"/>
      <color rgb="FF00B050"/>
      <name val="Times New Roman"/>
      <family val="1"/>
    </font>
    <font>
      <b/>
      <u/>
      <sz val="12"/>
      <color theme="1"/>
      <name val="Times New Roman"/>
      <family val="1"/>
    </font>
    <font>
      <b/>
      <i/>
      <u/>
      <sz val="12"/>
      <color theme="1"/>
      <name val="Times New Roman"/>
      <family val="1"/>
    </font>
    <font>
      <u/>
      <sz val="11"/>
      <color theme="11"/>
      <name val="Calibri"/>
      <family val="2"/>
      <scheme val="minor"/>
    </font>
    <font>
      <sz val="15"/>
      <color theme="1"/>
      <name val="Times New Roman"/>
      <family val="1"/>
    </font>
    <font>
      <b/>
      <sz val="15"/>
      <name val="Times New Roman"/>
      <family val="1"/>
    </font>
    <font>
      <sz val="15"/>
      <name val="Times New Roman"/>
      <family val="1"/>
    </font>
    <font>
      <sz val="15"/>
      <color rgb="FF1F497D"/>
      <name val="Times New Roman"/>
      <family val="1"/>
    </font>
    <font>
      <u/>
      <sz val="15"/>
      <color theme="10"/>
      <name val="Times New Roman"/>
      <family val="1"/>
    </font>
    <font>
      <b/>
      <sz val="15"/>
      <name val="Times New Roman"/>
      <family val="1"/>
    </font>
    <font>
      <sz val="15"/>
      <color theme="1"/>
      <name val="Times New Roman"/>
      <family val="1"/>
    </font>
    <font>
      <sz val="15"/>
      <name val="Times New Roman"/>
      <family val="1"/>
    </font>
  </fonts>
  <fills count="17">
    <fill>
      <patternFill patternType="none"/>
    </fill>
    <fill>
      <patternFill patternType="gray125"/>
    </fill>
    <fill>
      <patternFill patternType="solid">
        <fgColor rgb="FFC6EFCE"/>
      </patternFill>
    </fill>
    <fill>
      <patternFill patternType="solid">
        <fgColor rgb="FFFFEB9C"/>
      </patternFill>
    </fill>
    <fill>
      <patternFill patternType="solid">
        <fgColor rgb="FFF2F2F2"/>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FF330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DDDDDD"/>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4" tint="0.59999389629810485"/>
        <bgColor indexed="64"/>
      </patternFill>
    </fill>
  </fills>
  <borders count="52">
    <border>
      <left/>
      <right/>
      <top/>
      <bottom/>
      <diagonal/>
    </border>
    <border>
      <left style="thin">
        <color rgb="FF7F7F7F"/>
      </left>
      <right style="thin">
        <color rgb="FF7F7F7F"/>
      </right>
      <top style="thin">
        <color rgb="FF7F7F7F"/>
      </top>
      <bottom style="thin">
        <color rgb="FF7F7F7F"/>
      </bottom>
      <diagonal/>
    </border>
    <border>
      <left style="hair">
        <color auto="1"/>
      </left>
      <right style="hair">
        <color auto="1"/>
      </right>
      <top style="hair">
        <color auto="1"/>
      </top>
      <bottom style="hair">
        <color auto="1"/>
      </bottom>
      <diagonal/>
    </border>
    <border>
      <left/>
      <right style="medium">
        <color auto="1"/>
      </right>
      <top/>
      <bottom/>
      <diagonal/>
    </border>
    <border>
      <left/>
      <right style="medium">
        <color auto="1"/>
      </right>
      <top/>
      <bottom style="medium">
        <color auto="1"/>
      </bottom>
      <diagonal/>
    </border>
    <border>
      <left style="dotted">
        <color auto="1"/>
      </left>
      <right style="dotted">
        <color auto="1"/>
      </right>
      <top style="dotted">
        <color auto="1"/>
      </top>
      <bottom style="dotted">
        <color auto="1"/>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dotted">
        <color auto="1"/>
      </left>
      <right/>
      <top style="dotted">
        <color auto="1"/>
      </top>
      <bottom style="dotted">
        <color auto="1"/>
      </bottom>
      <diagonal/>
    </border>
    <border>
      <left style="medium">
        <color auto="1"/>
      </left>
      <right style="dotted">
        <color auto="1"/>
      </right>
      <top style="dotted">
        <color auto="1"/>
      </top>
      <bottom/>
      <diagonal/>
    </border>
    <border>
      <left style="dotted">
        <color auto="1"/>
      </left>
      <right style="dotted">
        <color auto="1"/>
      </right>
      <top style="dotted">
        <color auto="1"/>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diagonal/>
    </border>
    <border>
      <left style="medium">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auto="1"/>
      </left>
      <right/>
      <top style="dotted">
        <color auto="1"/>
      </top>
      <bottom/>
      <diagonal/>
    </border>
    <border>
      <left style="medium">
        <color auto="1"/>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medium">
        <color auto="1"/>
      </right>
      <top/>
      <bottom style="dotted">
        <color auto="1"/>
      </bottom>
      <diagonal/>
    </border>
    <border>
      <left style="medium">
        <color indexed="64"/>
      </left>
      <right style="dotted">
        <color auto="1"/>
      </right>
      <top style="medium">
        <color indexed="64"/>
      </top>
      <bottom style="medium">
        <color indexed="64"/>
      </bottom>
      <diagonal/>
    </border>
    <border>
      <left style="dotted">
        <color auto="1"/>
      </left>
      <right style="dotted">
        <color auto="1"/>
      </right>
      <top style="medium">
        <color indexed="64"/>
      </top>
      <bottom style="medium">
        <color indexed="64"/>
      </bottom>
      <diagonal/>
    </border>
    <border>
      <left style="dotted">
        <color auto="1"/>
      </left>
      <right style="medium">
        <color indexed="64"/>
      </right>
      <top style="medium">
        <color indexed="64"/>
      </top>
      <bottom style="medium">
        <color indexed="64"/>
      </bottom>
      <diagonal/>
    </border>
    <border>
      <left style="dotted">
        <color auto="1"/>
      </left>
      <right/>
      <top/>
      <bottom style="dotted">
        <color auto="1"/>
      </bottom>
      <diagonal/>
    </border>
    <border>
      <left style="dotted">
        <color auto="1"/>
      </left>
      <right style="medium">
        <color auto="1"/>
      </right>
      <top style="medium">
        <color auto="1"/>
      </top>
      <bottom/>
      <diagonal/>
    </border>
    <border>
      <left style="medium">
        <color auto="1"/>
      </left>
      <right style="dotted">
        <color auto="1"/>
      </right>
      <top style="medium">
        <color auto="1"/>
      </top>
      <bottom/>
      <diagonal/>
    </border>
    <border>
      <left style="dotted">
        <color auto="1"/>
      </left>
      <right style="dotted">
        <color auto="1"/>
      </right>
      <top style="medium">
        <color auto="1"/>
      </top>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4" fillId="2" borderId="0" applyNumberFormat="0" applyBorder="0" applyAlignment="0" applyProtection="0"/>
    <xf numFmtId="0" fontId="5" fillId="3" borderId="0" applyNumberFormat="0" applyBorder="0" applyAlignment="0" applyProtection="0"/>
    <xf numFmtId="0" fontId="6" fillId="4" borderId="1" applyNumberFormat="0" applyAlignment="0" applyProtection="0"/>
    <xf numFmtId="0" fontId="7" fillId="0" borderId="0" applyNumberFormat="0" applyFill="0" applyBorder="0" applyAlignment="0" applyProtection="0">
      <alignment vertical="top"/>
      <protection locked="0"/>
    </xf>
    <xf numFmtId="0" fontId="21" fillId="0" borderId="0" applyNumberFormat="0" applyFill="0" applyBorder="0" applyAlignment="0" applyProtection="0"/>
  </cellStyleXfs>
  <cellXfs count="243">
    <xf numFmtId="0" fontId="0" fillId="0" borderId="0" xfId="0"/>
    <xf numFmtId="0" fontId="8" fillId="9" borderId="0" xfId="0" applyFont="1" applyFill="1"/>
    <xf numFmtId="0" fontId="8" fillId="0" borderId="0" xfId="0" applyFont="1"/>
    <xf numFmtId="1" fontId="8" fillId="0" borderId="0" xfId="0" applyNumberFormat="1" applyFont="1"/>
    <xf numFmtId="9" fontId="8" fillId="0" borderId="0" xfId="2" applyFont="1"/>
    <xf numFmtId="9" fontId="8" fillId="0" borderId="0" xfId="2" applyNumberFormat="1" applyFont="1"/>
    <xf numFmtId="0" fontId="11" fillId="0" borderId="0" xfId="0" applyFont="1"/>
    <xf numFmtId="165" fontId="8" fillId="0" borderId="0" xfId="1" applyNumberFormat="1" applyFont="1"/>
    <xf numFmtId="0" fontId="10" fillId="0" borderId="0" xfId="0" applyFont="1" applyFill="1"/>
    <xf numFmtId="0" fontId="8" fillId="0" borderId="0" xfId="0" applyFont="1" applyAlignment="1">
      <alignment horizontal="left"/>
    </xf>
    <xf numFmtId="0" fontId="8" fillId="0" borderId="0" xfId="0" applyFont="1" applyFill="1" applyBorder="1"/>
    <xf numFmtId="0" fontId="8" fillId="0" borderId="0" xfId="0" applyFont="1" applyBorder="1"/>
    <xf numFmtId="0" fontId="11" fillId="0" borderId="0" xfId="0" applyFont="1" applyFill="1" applyBorder="1"/>
    <xf numFmtId="0" fontId="8" fillId="0" borderId="0" xfId="0" applyFont="1" applyBorder="1" applyAlignment="1">
      <alignment wrapText="1"/>
    </xf>
    <xf numFmtId="0" fontId="10" fillId="0" borderId="0" xfId="0" applyFont="1" applyFill="1" applyBorder="1"/>
    <xf numFmtId="0" fontId="8" fillId="6" borderId="0" xfId="0" applyFont="1" applyFill="1"/>
    <xf numFmtId="0" fontId="8" fillId="7" borderId="0" xfId="0" applyFont="1" applyFill="1"/>
    <xf numFmtId="0" fontId="8" fillId="8" borderId="0" xfId="0" applyFont="1" applyFill="1"/>
    <xf numFmtId="0" fontId="8" fillId="0" borderId="0" xfId="0" applyFont="1" applyFill="1"/>
    <xf numFmtId="2" fontId="8" fillId="0" borderId="0" xfId="0" applyNumberFormat="1" applyFont="1"/>
    <xf numFmtId="166" fontId="8" fillId="0" borderId="0" xfId="0" applyNumberFormat="1" applyFont="1"/>
    <xf numFmtId="0" fontId="18" fillId="0" borderId="0" xfId="0" applyFont="1"/>
    <xf numFmtId="167" fontId="8" fillId="0" borderId="0" xfId="0" applyNumberFormat="1" applyFont="1"/>
    <xf numFmtId="0" fontId="16" fillId="0" borderId="2" xfId="0" applyFont="1" applyBorder="1" applyAlignment="1"/>
    <xf numFmtId="0" fontId="8" fillId="0" borderId="2" xfId="0" applyFont="1" applyBorder="1"/>
    <xf numFmtId="3" fontId="16" fillId="0" borderId="2" xfId="0" applyNumberFormat="1" applyFont="1" applyBorder="1" applyAlignment="1"/>
    <xf numFmtId="0" fontId="11" fillId="0" borderId="5" xfId="0" applyFont="1" applyBorder="1"/>
    <xf numFmtId="0" fontId="8" fillId="0" borderId="5" xfId="0" applyFont="1" applyBorder="1"/>
    <xf numFmtId="2" fontId="8" fillId="0" borderId="5" xfId="1" applyNumberFormat="1" applyFont="1" applyBorder="1"/>
    <xf numFmtId="2" fontId="8" fillId="0" borderId="5" xfId="0" applyNumberFormat="1" applyFont="1" applyBorder="1"/>
    <xf numFmtId="0" fontId="11" fillId="0" borderId="6" xfId="0" applyFont="1" applyBorder="1"/>
    <xf numFmtId="0" fontId="8" fillId="0" borderId="9" xfId="0" applyFont="1" applyBorder="1"/>
    <xf numFmtId="0" fontId="8" fillId="0" borderId="10" xfId="0" applyFont="1" applyBorder="1"/>
    <xf numFmtId="2" fontId="8" fillId="0" borderId="10" xfId="1" applyNumberFormat="1" applyFont="1" applyBorder="1"/>
    <xf numFmtId="2" fontId="8" fillId="0" borderId="10" xfId="0" applyNumberFormat="1" applyFont="1" applyBorder="1"/>
    <xf numFmtId="0" fontId="8" fillId="0" borderId="11" xfId="0" applyFont="1" applyBorder="1"/>
    <xf numFmtId="2" fontId="8" fillId="0" borderId="12" xfId="1" applyNumberFormat="1" applyFont="1" applyBorder="1"/>
    <xf numFmtId="2" fontId="8" fillId="0" borderId="13" xfId="1" applyNumberFormat="1" applyFont="1" applyBorder="1"/>
    <xf numFmtId="10" fontId="8" fillId="0" borderId="5" xfId="0" applyNumberFormat="1" applyFont="1" applyBorder="1"/>
    <xf numFmtId="0" fontId="8" fillId="0" borderId="6" xfId="0" applyFont="1" applyBorder="1"/>
    <xf numFmtId="0" fontId="8" fillId="0" borderId="7" xfId="0" applyFont="1" applyBorder="1"/>
    <xf numFmtId="0" fontId="8" fillId="0" borderId="8" xfId="0" applyFont="1" applyBorder="1"/>
    <xf numFmtId="10" fontId="8" fillId="0" borderId="12" xfId="0" applyNumberFormat="1" applyFont="1" applyBorder="1"/>
    <xf numFmtId="0" fontId="8" fillId="0" borderId="12" xfId="0" applyFont="1" applyBorder="1"/>
    <xf numFmtId="10" fontId="8" fillId="0" borderId="13" xfId="0" applyNumberFormat="1" applyFont="1" applyBorder="1"/>
    <xf numFmtId="2" fontId="8" fillId="0" borderId="12" xfId="0" applyNumberFormat="1" applyFont="1" applyBorder="1"/>
    <xf numFmtId="0" fontId="8" fillId="0" borderId="13" xfId="0" applyFont="1" applyBorder="1"/>
    <xf numFmtId="165" fontId="8" fillId="0" borderId="10" xfId="0" applyNumberFormat="1" applyFont="1" applyBorder="1"/>
    <xf numFmtId="165" fontId="8" fillId="0" borderId="13" xfId="0" applyNumberFormat="1" applyFont="1" applyBorder="1"/>
    <xf numFmtId="10" fontId="8" fillId="0" borderId="10" xfId="0" applyNumberFormat="1" applyFont="1" applyBorder="1"/>
    <xf numFmtId="0" fontId="8" fillId="0" borderId="15" xfId="0" applyFont="1" applyBorder="1"/>
    <xf numFmtId="2" fontId="8" fillId="0" borderId="16" xfId="0" applyNumberFormat="1" applyFont="1" applyBorder="1"/>
    <xf numFmtId="2" fontId="8" fillId="0" borderId="16" xfId="1" applyNumberFormat="1" applyFont="1" applyBorder="1"/>
    <xf numFmtId="2" fontId="8" fillId="0" borderId="13" xfId="0" applyNumberFormat="1" applyFont="1" applyBorder="1"/>
    <xf numFmtId="10" fontId="8" fillId="0" borderId="5" xfId="2" applyNumberFormat="1" applyFont="1" applyBorder="1"/>
    <xf numFmtId="10" fontId="8" fillId="0" borderId="12" xfId="2" applyNumberFormat="1" applyFont="1" applyBorder="1"/>
    <xf numFmtId="0" fontId="8" fillId="0" borderId="5" xfId="0" applyFont="1" applyFill="1" applyBorder="1"/>
    <xf numFmtId="2" fontId="8" fillId="5" borderId="5" xfId="0" applyNumberFormat="1" applyFont="1" applyFill="1" applyBorder="1"/>
    <xf numFmtId="0" fontId="8" fillId="0" borderId="9" xfId="0" applyFont="1" applyFill="1" applyBorder="1"/>
    <xf numFmtId="0" fontId="8" fillId="0" borderId="11" xfId="0" applyFont="1" applyFill="1" applyBorder="1"/>
    <xf numFmtId="2" fontId="8" fillId="0" borderId="12" xfId="0" applyNumberFormat="1" applyFont="1" applyFill="1" applyBorder="1"/>
    <xf numFmtId="2" fontId="8" fillId="0" borderId="12" xfId="0" applyNumberFormat="1" applyFont="1" applyBorder="1" applyAlignment="1">
      <alignment wrapText="1"/>
    </xf>
    <xf numFmtId="0" fontId="11" fillId="0" borderId="0" xfId="0" applyFont="1" applyBorder="1" applyAlignment="1">
      <alignment horizontal="right"/>
    </xf>
    <xf numFmtId="0" fontId="8" fillId="0" borderId="0" xfId="0" applyFont="1" applyBorder="1" applyAlignment="1"/>
    <xf numFmtId="0" fontId="11" fillId="5" borderId="5" xfId="0" applyFont="1" applyFill="1" applyBorder="1"/>
    <xf numFmtId="0" fontId="12" fillId="0" borderId="6" xfId="0" applyFont="1" applyFill="1" applyBorder="1"/>
    <xf numFmtId="0" fontId="11" fillId="0" borderId="9" xfId="0" applyFont="1" applyFill="1" applyBorder="1"/>
    <xf numFmtId="0" fontId="11" fillId="0" borderId="10" xfId="0" applyFont="1" applyBorder="1" applyAlignment="1">
      <alignment horizontal="center"/>
    </xf>
    <xf numFmtId="0" fontId="13" fillId="0" borderId="13" xfId="6" applyFont="1" applyFill="1" applyBorder="1" applyAlignment="1" applyProtection="1"/>
    <xf numFmtId="2" fontId="8" fillId="9" borderId="5" xfId="0" applyNumberFormat="1" applyFont="1" applyFill="1" applyBorder="1"/>
    <xf numFmtId="0" fontId="11" fillId="14" borderId="7" xfId="0" applyFont="1" applyFill="1" applyBorder="1"/>
    <xf numFmtId="0" fontId="11" fillId="14" borderId="8" xfId="0" applyFont="1" applyFill="1" applyBorder="1"/>
    <xf numFmtId="0" fontId="11" fillId="14" borderId="9" xfId="0" applyFont="1" applyFill="1" applyBorder="1"/>
    <xf numFmtId="2" fontId="8" fillId="9" borderId="10" xfId="0" applyNumberFormat="1" applyFont="1" applyFill="1" applyBorder="1"/>
    <xf numFmtId="0" fontId="11" fillId="14" borderId="11" xfId="0" applyFont="1" applyFill="1" applyBorder="1"/>
    <xf numFmtId="2" fontId="8" fillId="9" borderId="12" xfId="0" applyNumberFormat="1" applyFont="1" applyFill="1" applyBorder="1"/>
    <xf numFmtId="2" fontId="8" fillId="9" borderId="13" xfId="0" applyNumberFormat="1" applyFont="1" applyFill="1" applyBorder="1"/>
    <xf numFmtId="2" fontId="8" fillId="6" borderId="5" xfId="0" applyNumberFormat="1" applyFont="1" applyFill="1" applyBorder="1"/>
    <xf numFmtId="2" fontId="8" fillId="6" borderId="10" xfId="0" applyNumberFormat="1" applyFont="1" applyFill="1" applyBorder="1"/>
    <xf numFmtId="2" fontId="8" fillId="6" borderId="12" xfId="0" applyNumberFormat="1" applyFont="1" applyFill="1" applyBorder="1"/>
    <xf numFmtId="2" fontId="8" fillId="6" borderId="13" xfId="0" applyNumberFormat="1" applyFont="1" applyFill="1" applyBorder="1"/>
    <xf numFmtId="1" fontId="8" fillId="0" borderId="5" xfId="0" applyNumberFormat="1" applyFont="1" applyBorder="1"/>
    <xf numFmtId="0" fontId="17" fillId="0" borderId="6" xfId="0" applyFont="1" applyBorder="1"/>
    <xf numFmtId="0" fontId="8" fillId="0" borderId="12" xfId="0" applyFont="1" applyFill="1" applyBorder="1"/>
    <xf numFmtId="2" fontId="15" fillId="7" borderId="5" xfId="4" applyNumberFormat="1" applyFont="1" applyFill="1" applyBorder="1"/>
    <xf numFmtId="2" fontId="16" fillId="8" borderId="5" xfId="4" applyNumberFormat="1" applyFont="1" applyFill="1" applyBorder="1"/>
    <xf numFmtId="2" fontId="14" fillId="2" borderId="5" xfId="3" applyNumberFormat="1" applyFont="1" applyBorder="1"/>
    <xf numFmtId="2" fontId="15" fillId="3" borderId="5" xfId="4" applyNumberFormat="1" applyFont="1" applyBorder="1"/>
    <xf numFmtId="2" fontId="15" fillId="7" borderId="10" xfId="4" applyNumberFormat="1" applyFont="1" applyFill="1" applyBorder="1"/>
    <xf numFmtId="2" fontId="16" fillId="8" borderId="10" xfId="4" applyNumberFormat="1" applyFont="1" applyFill="1" applyBorder="1"/>
    <xf numFmtId="0" fontId="8" fillId="9" borderId="9" xfId="0" applyFont="1" applyFill="1" applyBorder="1"/>
    <xf numFmtId="2" fontId="14" fillId="2" borderId="10" xfId="3" applyNumberFormat="1" applyFont="1" applyBorder="1"/>
    <xf numFmtId="2" fontId="15" fillId="3" borderId="10" xfId="4" applyNumberFormat="1" applyFont="1" applyBorder="1"/>
    <xf numFmtId="2" fontId="15" fillId="3" borderId="12" xfId="4" applyNumberFormat="1" applyFont="1" applyBorder="1"/>
    <xf numFmtId="2" fontId="15" fillId="3" borderId="13" xfId="4" applyNumberFormat="1" applyFont="1" applyBorder="1"/>
    <xf numFmtId="2" fontId="9" fillId="4" borderId="5" xfId="5" applyNumberFormat="1" applyFont="1" applyBorder="1"/>
    <xf numFmtId="2" fontId="9" fillId="4" borderId="7" xfId="5" applyNumberFormat="1" applyFont="1" applyBorder="1"/>
    <xf numFmtId="2" fontId="9" fillId="4" borderId="8" xfId="5" applyNumberFormat="1" applyFont="1" applyBorder="1"/>
    <xf numFmtId="2" fontId="9" fillId="4" borderId="10" xfId="5" applyNumberFormat="1" applyFont="1" applyBorder="1"/>
    <xf numFmtId="2" fontId="9" fillId="4" borderId="12" xfId="5" applyNumberFormat="1" applyFont="1" applyBorder="1"/>
    <xf numFmtId="2" fontId="9" fillId="4" borderId="13" xfId="5" applyNumberFormat="1" applyFont="1" applyBorder="1"/>
    <xf numFmtId="0" fontId="17" fillId="0" borderId="7" xfId="0" applyFont="1" applyBorder="1"/>
    <xf numFmtId="0" fontId="17" fillId="0" borderId="9" xfId="0" applyFont="1" applyBorder="1"/>
    <xf numFmtId="2" fontId="8" fillId="0" borderId="9" xfId="0" applyNumberFormat="1" applyFont="1" applyBorder="1"/>
    <xf numFmtId="2" fontId="8" fillId="0" borderId="11" xfId="0" applyNumberFormat="1" applyFont="1" applyBorder="1"/>
    <xf numFmtId="1" fontId="8" fillId="0" borderId="9" xfId="0" applyNumberFormat="1" applyFont="1" applyBorder="1"/>
    <xf numFmtId="1" fontId="8" fillId="0" borderId="10" xfId="0" applyNumberFormat="1" applyFont="1" applyBorder="1"/>
    <xf numFmtId="166" fontId="8" fillId="0" borderId="5" xfId="0" applyNumberFormat="1" applyFont="1" applyBorder="1"/>
    <xf numFmtId="0" fontId="8" fillId="9" borderId="6" xfId="0" applyFont="1" applyFill="1" applyBorder="1"/>
    <xf numFmtId="0" fontId="8" fillId="9" borderId="7" xfId="0" applyFont="1" applyFill="1" applyBorder="1"/>
    <xf numFmtId="0" fontId="8" fillId="9" borderId="8" xfId="0" applyFont="1" applyFill="1" applyBorder="1"/>
    <xf numFmtId="9" fontId="8" fillId="0" borderId="13" xfId="2" applyNumberFormat="1" applyFont="1" applyBorder="1"/>
    <xf numFmtId="0" fontId="11" fillId="0" borderId="0" xfId="0" applyNumberFormat="1" applyFont="1"/>
    <xf numFmtId="0" fontId="11" fillId="0" borderId="0" xfId="0" applyFont="1" applyAlignment="1">
      <alignment horizontal="right"/>
    </xf>
    <xf numFmtId="167" fontId="8" fillId="0" borderId="5" xfId="0" applyNumberFormat="1" applyFont="1" applyBorder="1"/>
    <xf numFmtId="0" fontId="10" fillId="0" borderId="9" xfId="0" applyFont="1" applyFill="1" applyBorder="1"/>
    <xf numFmtId="167" fontId="8" fillId="0" borderId="12" xfId="0" applyNumberFormat="1" applyFont="1" applyBorder="1"/>
    <xf numFmtId="0" fontId="11" fillId="0" borderId="9" xfId="0" applyFont="1" applyBorder="1" applyAlignment="1">
      <alignment horizontal="right"/>
    </xf>
    <xf numFmtId="0" fontId="11" fillId="0" borderId="5" xfId="0" applyFont="1" applyBorder="1" applyAlignment="1">
      <alignment horizontal="right"/>
    </xf>
    <xf numFmtId="0" fontId="11" fillId="0" borderId="10" xfId="0" applyFont="1" applyBorder="1" applyAlignment="1">
      <alignment horizontal="right"/>
    </xf>
    <xf numFmtId="2" fontId="8" fillId="0" borderId="0" xfId="0" applyNumberFormat="1" applyFont="1" applyBorder="1"/>
    <xf numFmtId="0" fontId="10" fillId="0" borderId="11" xfId="0" applyFont="1" applyFill="1" applyBorder="1"/>
    <xf numFmtId="0" fontId="19" fillId="0" borderId="6" xfId="0" applyFont="1" applyBorder="1"/>
    <xf numFmtId="0" fontId="18" fillId="0" borderId="6" xfId="0" applyFont="1" applyBorder="1"/>
    <xf numFmtId="0" fontId="20" fillId="0" borderId="9" xfId="0" applyFont="1" applyBorder="1" applyAlignment="1">
      <alignment horizontal="right"/>
    </xf>
    <xf numFmtId="0" fontId="11" fillId="0" borderId="5" xfId="0" applyNumberFormat="1" applyFont="1" applyBorder="1"/>
    <xf numFmtId="167" fontId="8" fillId="0" borderId="7" xfId="0" applyNumberFormat="1" applyFont="1" applyBorder="1"/>
    <xf numFmtId="167" fontId="8" fillId="0" borderId="8" xfId="0" applyNumberFormat="1" applyFont="1" applyBorder="1"/>
    <xf numFmtId="0" fontId="11" fillId="0" borderId="9" xfId="0" applyNumberFormat="1" applyFont="1" applyBorder="1"/>
    <xf numFmtId="0" fontId="11" fillId="0" borderId="10" xfId="0" applyNumberFormat="1" applyFont="1" applyBorder="1"/>
    <xf numFmtId="0" fontId="22" fillId="0" borderId="17" xfId="0" applyFont="1" applyBorder="1"/>
    <xf numFmtId="0" fontId="22" fillId="0" borderId="20" xfId="0" applyFont="1" applyBorder="1"/>
    <xf numFmtId="0" fontId="22" fillId="0" borderId="18" xfId="0" applyFont="1" applyBorder="1"/>
    <xf numFmtId="0" fontId="22" fillId="0" borderId="0" xfId="0" applyFont="1"/>
    <xf numFmtId="0" fontId="22" fillId="0" borderId="19" xfId="0" applyFont="1" applyBorder="1"/>
    <xf numFmtId="0" fontId="22" fillId="0" borderId="21" xfId="0" applyFont="1" applyBorder="1"/>
    <xf numFmtId="0" fontId="22" fillId="0" borderId="22" xfId="0" applyFont="1" applyBorder="1"/>
    <xf numFmtId="0" fontId="23" fillId="15" borderId="23" xfId="0" applyFont="1" applyFill="1" applyBorder="1" applyAlignment="1">
      <alignment horizontal="left" vertical="center"/>
    </xf>
    <xf numFmtId="0" fontId="22" fillId="5" borderId="24" xfId="0" applyFont="1" applyFill="1" applyBorder="1" applyAlignment="1">
      <alignment vertical="center" wrapText="1"/>
    </xf>
    <xf numFmtId="0" fontId="23" fillId="15" borderId="25" xfId="0" applyFont="1" applyFill="1" applyBorder="1" applyAlignment="1">
      <alignment horizontal="left" vertical="center"/>
    </xf>
    <xf numFmtId="0" fontId="22" fillId="5" borderId="26" xfId="0" applyFont="1" applyFill="1" applyBorder="1" applyAlignment="1">
      <alignment vertical="center"/>
    </xf>
    <xf numFmtId="0" fontId="23" fillId="15" borderId="25" xfId="0" applyFont="1" applyFill="1" applyBorder="1" applyAlignment="1">
      <alignment horizontal="left" vertical="center" wrapText="1"/>
    </xf>
    <xf numFmtId="0" fontId="22" fillId="5" borderId="26" xfId="0" applyFont="1" applyFill="1" applyBorder="1" applyAlignment="1">
      <alignment vertical="center" wrapText="1"/>
    </xf>
    <xf numFmtId="0" fontId="24" fillId="0" borderId="27" xfId="0" applyFont="1" applyBorder="1" applyAlignment="1">
      <alignment vertical="center" wrapText="1"/>
    </xf>
    <xf numFmtId="0" fontId="24" fillId="0" borderId="17" xfId="0" applyFont="1" applyBorder="1" applyAlignment="1">
      <alignment vertical="center" wrapText="1"/>
    </xf>
    <xf numFmtId="0" fontId="24" fillId="5" borderId="27" xfId="0" applyFont="1" applyFill="1" applyBorder="1" applyAlignment="1">
      <alignment vertical="center" wrapText="1"/>
    </xf>
    <xf numFmtId="0" fontId="25" fillId="0" borderId="17" xfId="0" applyFont="1" applyBorder="1" applyAlignment="1">
      <alignment vertical="center" wrapText="1"/>
    </xf>
    <xf numFmtId="0" fontId="22" fillId="5" borderId="26" xfId="0" applyFont="1" applyFill="1" applyBorder="1" applyAlignment="1">
      <alignment horizontal="left" vertical="center" wrapText="1"/>
    </xf>
    <xf numFmtId="0" fontId="23" fillId="15" borderId="28" xfId="0" applyFont="1" applyFill="1" applyBorder="1" applyAlignment="1">
      <alignment horizontal="left" vertical="center"/>
    </xf>
    <xf numFmtId="0" fontId="26" fillId="5" borderId="29" xfId="6" applyFont="1" applyFill="1" applyBorder="1" applyAlignment="1" applyProtection="1">
      <alignment vertical="center" wrapText="1"/>
    </xf>
    <xf numFmtId="0" fontId="23" fillId="15" borderId="30" xfId="0" applyFont="1" applyFill="1" applyBorder="1" applyAlignment="1">
      <alignment horizontal="left" vertical="center"/>
    </xf>
    <xf numFmtId="0" fontId="23" fillId="15" borderId="31" xfId="0" applyFont="1" applyFill="1" applyBorder="1" applyAlignment="1">
      <alignment horizontal="left" vertical="center"/>
    </xf>
    <xf numFmtId="0" fontId="24" fillId="5" borderId="32" xfId="0" applyFont="1" applyFill="1" applyBorder="1" applyAlignment="1">
      <alignment vertical="center" wrapText="1"/>
    </xf>
    <xf numFmtId="167" fontId="28" fillId="0" borderId="34" xfId="0" applyNumberFormat="1" applyFont="1" applyBorder="1" applyAlignment="1">
      <alignment horizontal="left" vertical="center" wrapText="1"/>
    </xf>
    <xf numFmtId="0" fontId="29" fillId="0" borderId="27" xfId="0" applyFont="1" applyBorder="1" applyAlignment="1">
      <alignment horizontal="left" vertical="center" wrapText="1"/>
    </xf>
    <xf numFmtId="0" fontId="27" fillId="15" borderId="33" xfId="0" applyFont="1" applyFill="1" applyBorder="1" applyAlignment="1">
      <alignment horizontal="left" vertical="center"/>
    </xf>
    <xf numFmtId="2" fontId="8" fillId="0" borderId="5" xfId="0" applyNumberFormat="1" applyFont="1" applyFill="1" applyBorder="1"/>
    <xf numFmtId="2" fontId="8" fillId="0" borderId="10" xfId="0" applyNumberFormat="1" applyFont="1" applyFill="1" applyBorder="1"/>
    <xf numFmtId="2" fontId="8" fillId="0" borderId="13" xfId="0" applyNumberFormat="1" applyFont="1" applyFill="1" applyBorder="1"/>
    <xf numFmtId="2" fontId="8" fillId="0" borderId="2" xfId="0" applyNumberFormat="1" applyFont="1" applyBorder="1"/>
    <xf numFmtId="3" fontId="16" fillId="0" borderId="2" xfId="0" applyNumberFormat="1" applyFont="1" applyFill="1" applyBorder="1" applyAlignment="1"/>
    <xf numFmtId="0" fontId="8" fillId="0" borderId="35" xfId="0" applyFont="1" applyBorder="1"/>
    <xf numFmtId="2" fontId="8" fillId="0" borderId="3" xfId="0" applyNumberFormat="1" applyFont="1" applyBorder="1"/>
    <xf numFmtId="0" fontId="8" fillId="0" borderId="36" xfId="0" applyFont="1" applyBorder="1"/>
    <xf numFmtId="0" fontId="8" fillId="0" borderId="37" xfId="0" applyFont="1" applyBorder="1"/>
    <xf numFmtId="2" fontId="8" fillId="0" borderId="37" xfId="0" applyNumberFormat="1" applyFont="1" applyBorder="1"/>
    <xf numFmtId="2" fontId="8" fillId="0" borderId="4" xfId="0" applyNumberFormat="1" applyFont="1" applyBorder="1"/>
    <xf numFmtId="0" fontId="8" fillId="0" borderId="38" xfId="0" applyFont="1" applyBorder="1"/>
    <xf numFmtId="0" fontId="8" fillId="0" borderId="39" xfId="0" applyFont="1" applyBorder="1"/>
    <xf numFmtId="0" fontId="12" fillId="11" borderId="0" xfId="0" applyFont="1" applyFill="1" applyBorder="1" applyAlignment="1">
      <alignment horizontal="center" vertical="center"/>
    </xf>
    <xf numFmtId="0" fontId="12" fillId="12" borderId="0" xfId="0" applyFont="1" applyFill="1" applyBorder="1" applyAlignment="1">
      <alignment horizontal="center" vertical="center"/>
    </xf>
    <xf numFmtId="0" fontId="11" fillId="13" borderId="0" xfId="0" applyFont="1" applyFill="1" applyBorder="1" applyAlignment="1">
      <alignment horizontal="center"/>
    </xf>
    <xf numFmtId="2" fontId="16" fillId="0" borderId="5" xfId="5" applyNumberFormat="1" applyFont="1" applyFill="1" applyBorder="1"/>
    <xf numFmtId="2" fontId="8" fillId="0" borderId="14" xfId="1" applyNumberFormat="1" applyFont="1" applyBorder="1"/>
    <xf numFmtId="2" fontId="8" fillId="0" borderId="41" xfId="1" applyNumberFormat="1" applyFont="1" applyBorder="1"/>
    <xf numFmtId="0" fontId="8" fillId="0" borderId="42" xfId="0" applyFont="1" applyBorder="1"/>
    <xf numFmtId="0" fontId="8" fillId="0" borderId="43" xfId="0" applyFont="1" applyBorder="1"/>
    <xf numFmtId="0" fontId="8" fillId="0" borderId="44" xfId="0" applyFont="1" applyBorder="1"/>
    <xf numFmtId="0" fontId="11" fillId="0" borderId="45" xfId="0" applyFont="1" applyBorder="1"/>
    <xf numFmtId="2" fontId="8" fillId="0" borderId="43" xfId="0" applyNumberFormat="1" applyFont="1" applyBorder="1"/>
    <xf numFmtId="2" fontId="8" fillId="0" borderId="43" xfId="1" applyNumberFormat="1" applyFont="1" applyBorder="1"/>
    <xf numFmtId="2" fontId="8" fillId="0" borderId="48" xfId="1" applyNumberFormat="1" applyFont="1" applyBorder="1"/>
    <xf numFmtId="0" fontId="8" fillId="0" borderId="46" xfId="0" applyFont="1" applyBorder="1"/>
    <xf numFmtId="0" fontId="8" fillId="0" borderId="47" xfId="0" applyFont="1" applyBorder="1"/>
    <xf numFmtId="0" fontId="11" fillId="0" borderId="10" xfId="0" applyFont="1" applyBorder="1"/>
    <xf numFmtId="2" fontId="8" fillId="0" borderId="7" xfId="1" applyNumberFormat="1" applyFont="1" applyBorder="1"/>
    <xf numFmtId="165" fontId="8" fillId="0" borderId="8" xfId="0" applyNumberFormat="1" applyFont="1" applyBorder="1"/>
    <xf numFmtId="10" fontId="8" fillId="0" borderId="43" xfId="0" applyNumberFormat="1" applyFont="1" applyBorder="1"/>
    <xf numFmtId="10" fontId="8" fillId="0" borderId="44" xfId="0" applyNumberFormat="1" applyFont="1" applyBorder="1"/>
    <xf numFmtId="10" fontId="8" fillId="0" borderId="43" xfId="2" applyNumberFormat="1" applyFont="1" applyBorder="1"/>
    <xf numFmtId="10" fontId="16" fillId="0" borderId="5" xfId="2" applyNumberFormat="1" applyFont="1" applyBorder="1"/>
    <xf numFmtId="0" fontId="8" fillId="0" borderId="10" xfId="0" applyFont="1" applyFill="1" applyBorder="1"/>
    <xf numFmtId="2" fontId="8" fillId="0" borderId="44" xfId="0" applyNumberFormat="1" applyFont="1" applyBorder="1"/>
    <xf numFmtId="2" fontId="8" fillId="6" borderId="43" xfId="0" applyNumberFormat="1" applyFont="1" applyFill="1" applyBorder="1"/>
    <xf numFmtId="2" fontId="8" fillId="6" borderId="44" xfId="0" applyNumberFormat="1" applyFont="1" applyFill="1" applyBorder="1"/>
    <xf numFmtId="0" fontId="11" fillId="0" borderId="43" xfId="0" applyFont="1" applyBorder="1"/>
    <xf numFmtId="0" fontId="19" fillId="0" borderId="45" xfId="0" applyFont="1" applyFill="1" applyBorder="1"/>
    <xf numFmtId="1" fontId="11" fillId="0" borderId="45" xfId="0" applyNumberFormat="1" applyFont="1" applyFill="1" applyBorder="1"/>
    <xf numFmtId="1" fontId="11" fillId="0" borderId="46" xfId="0" applyNumberFormat="1" applyFont="1" applyBorder="1"/>
    <xf numFmtId="1" fontId="11" fillId="0" borderId="47" xfId="0" applyNumberFormat="1" applyFont="1" applyBorder="1"/>
    <xf numFmtId="0" fontId="19" fillId="0" borderId="45" xfId="0" applyFont="1" applyBorder="1"/>
    <xf numFmtId="1" fontId="11" fillId="0" borderId="46" xfId="0" applyNumberFormat="1" applyFont="1" applyFill="1" applyBorder="1"/>
    <xf numFmtId="0" fontId="11" fillId="0" borderId="46" xfId="0" applyFont="1" applyBorder="1"/>
    <xf numFmtId="0" fontId="11" fillId="0" borderId="47" xfId="0" applyFont="1" applyBorder="1"/>
    <xf numFmtId="2" fontId="16" fillId="6" borderId="5" xfId="5" applyNumberFormat="1" applyFont="1" applyFill="1" applyBorder="1"/>
    <xf numFmtId="2" fontId="14" fillId="6" borderId="43" xfId="3" applyNumberFormat="1" applyFont="1" applyFill="1" applyBorder="1"/>
    <xf numFmtId="2" fontId="14" fillId="6" borderId="44" xfId="3" applyNumberFormat="1" applyFont="1" applyFill="1" applyBorder="1"/>
    <xf numFmtId="0" fontId="11" fillId="0" borderId="35" xfId="0" applyFont="1" applyBorder="1"/>
    <xf numFmtId="1" fontId="11" fillId="0" borderId="0" xfId="0" applyNumberFormat="1" applyFont="1" applyFill="1" applyBorder="1"/>
    <xf numFmtId="1" fontId="11" fillId="0" borderId="0" xfId="0" applyNumberFormat="1" applyFont="1" applyBorder="1"/>
    <xf numFmtId="1" fontId="11" fillId="0" borderId="3" xfId="0" applyNumberFormat="1" applyFont="1" applyBorder="1"/>
    <xf numFmtId="0" fontId="8" fillId="0" borderId="50" xfId="0" applyFont="1" applyBorder="1"/>
    <xf numFmtId="0" fontId="8" fillId="0" borderId="51" xfId="0" applyFont="1" applyBorder="1"/>
    <xf numFmtId="0" fontId="8" fillId="0" borderId="49" xfId="0" applyFont="1" applyBorder="1"/>
    <xf numFmtId="2" fontId="8" fillId="0" borderId="42" xfId="0" applyNumberFormat="1" applyFont="1" applyBorder="1"/>
    <xf numFmtId="0" fontId="11" fillId="0" borderId="9" xfId="0" applyFont="1" applyBorder="1"/>
    <xf numFmtId="0" fontId="12" fillId="0" borderId="9" xfId="0" applyFont="1" applyFill="1" applyBorder="1"/>
    <xf numFmtId="0" fontId="11" fillId="0" borderId="7" xfId="0" applyFont="1" applyBorder="1"/>
    <xf numFmtId="2" fontId="8" fillId="6" borderId="5" xfId="0" applyNumberFormat="1" applyFont="1" applyFill="1" applyBorder="1" applyAlignment="1">
      <alignment horizontal="right"/>
    </xf>
    <xf numFmtId="0" fontId="0" fillId="5" borderId="0" xfId="0" applyFill="1"/>
    <xf numFmtId="0" fontId="8" fillId="16" borderId="6" xfId="0" applyFont="1" applyFill="1" applyBorder="1"/>
    <xf numFmtId="0" fontId="8" fillId="16" borderId="8" xfId="0" applyFont="1" applyFill="1" applyBorder="1"/>
    <xf numFmtId="0" fontId="8" fillId="5" borderId="9" xfId="0" applyFont="1" applyFill="1" applyBorder="1"/>
    <xf numFmtId="0" fontId="8" fillId="5" borderId="10" xfId="0" applyFont="1" applyFill="1" applyBorder="1" applyAlignment="1">
      <alignment wrapText="1"/>
    </xf>
    <xf numFmtId="0" fontId="8" fillId="5" borderId="10" xfId="0" applyFont="1" applyFill="1" applyBorder="1"/>
    <xf numFmtId="0" fontId="8" fillId="5" borderId="11" xfId="0" applyFont="1" applyFill="1" applyBorder="1"/>
    <xf numFmtId="0" fontId="8" fillId="5" borderId="13" xfId="0" applyFont="1" applyFill="1" applyBorder="1" applyAlignment="1">
      <alignment wrapText="1"/>
    </xf>
    <xf numFmtId="0" fontId="28" fillId="0" borderId="26" xfId="0" applyFont="1" applyBorder="1" applyAlignment="1">
      <alignment vertical="top" wrapText="1"/>
    </xf>
    <xf numFmtId="2" fontId="8" fillId="5" borderId="10" xfId="0" applyNumberFormat="1" applyFont="1" applyFill="1" applyBorder="1"/>
    <xf numFmtId="2" fontId="8" fillId="5" borderId="12" xfId="0" applyNumberFormat="1" applyFont="1" applyFill="1" applyBorder="1"/>
    <xf numFmtId="2" fontId="8" fillId="5" borderId="13" xfId="0" applyNumberFormat="1" applyFont="1" applyFill="1" applyBorder="1"/>
    <xf numFmtId="2" fontId="8" fillId="5" borderId="9" xfId="0" applyNumberFormat="1" applyFont="1" applyFill="1" applyBorder="1"/>
    <xf numFmtId="168" fontId="8" fillId="0" borderId="0" xfId="0" applyNumberFormat="1" applyFont="1" applyBorder="1"/>
    <xf numFmtId="0" fontId="11" fillId="0" borderId="46" xfId="0" applyFont="1" applyBorder="1" applyAlignment="1">
      <alignment horizontal="center"/>
    </xf>
    <xf numFmtId="0" fontId="11" fillId="0" borderId="47" xfId="0" applyFont="1" applyBorder="1" applyAlignment="1">
      <alignment horizontal="center"/>
    </xf>
    <xf numFmtId="0" fontId="13" fillId="0" borderId="10" xfId="6" applyFont="1" applyBorder="1" applyAlignment="1" applyProtection="1">
      <alignment horizontal="center" vertical="center"/>
    </xf>
    <xf numFmtId="0" fontId="11" fillId="0" borderId="0" xfId="0" applyFont="1" applyBorder="1" applyAlignment="1">
      <alignment horizontal="right"/>
    </xf>
    <xf numFmtId="0" fontId="12" fillId="0" borderId="6" xfId="0" applyFont="1" applyFill="1" applyBorder="1" applyAlignment="1">
      <alignment horizontal="center"/>
    </xf>
    <xf numFmtId="0" fontId="12" fillId="0" borderId="7" xfId="0" applyFont="1" applyFill="1" applyBorder="1" applyAlignment="1">
      <alignment horizontal="center"/>
    </xf>
    <xf numFmtId="0" fontId="12" fillId="0" borderId="7" xfId="0" applyFont="1" applyBorder="1" applyAlignment="1">
      <alignment horizontal="center"/>
    </xf>
    <xf numFmtId="0" fontId="12" fillId="0" borderId="8" xfId="0" applyFont="1" applyBorder="1" applyAlignment="1">
      <alignment horizontal="center"/>
    </xf>
    <xf numFmtId="0" fontId="8" fillId="10" borderId="39" xfId="0" applyFont="1" applyFill="1" applyBorder="1" applyAlignment="1">
      <alignment horizontal="center"/>
    </xf>
    <xf numFmtId="0" fontId="8" fillId="10" borderId="40" xfId="0" applyFont="1" applyFill="1" applyBorder="1" applyAlignment="1">
      <alignment horizontal="center"/>
    </xf>
  </cellXfs>
  <cellStyles count="8">
    <cellStyle name="Calculation" xfId="5" builtinId="22"/>
    <cellStyle name="Comma" xfId="1" builtinId="3"/>
    <cellStyle name="Followed Hyperlink" xfId="7" builtinId="9" hidden="1"/>
    <cellStyle name="Good" xfId="3" builtinId="26"/>
    <cellStyle name="Hyperlink" xfId="6" builtinId="8"/>
    <cellStyle name="Neutral" xfId="4" builtinId="28"/>
    <cellStyle name="Normal" xfId="0" builtinId="0"/>
    <cellStyle name="Percent" xfId="2" builtinId="5"/>
  </cellStyles>
  <dxfs count="0"/>
  <tableStyles count="0" defaultTableStyle="TableStyleMedium2" defaultPivotStyle="PivotStyleMedium9"/>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3348725</xdr:colOff>
      <xdr:row>1</xdr:row>
      <xdr:rowOff>23962</xdr:rowOff>
    </xdr:from>
    <xdr:to>
      <xdr:col>3</xdr:col>
      <xdr:colOff>4681626</xdr:colOff>
      <xdr:row>4</xdr:row>
      <xdr:rowOff>127897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65659" y="275566"/>
          <a:ext cx="1332901" cy="8587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nfo@ghgplatform-india.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hyperlink" Target="http://www.gailonline.com/final_site/energyconversionmatrix.html" TargetMode="External"/><Relationship Id="rId1" Type="http://schemas.openxmlformats.org/officeDocument/2006/relationships/hyperlink" Target="http://petroleum.nic.in/docs/readyrecknor_May14.pdf" TargetMode="Externa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0"/>
  <sheetViews>
    <sheetView tabSelected="1" zoomScale="80" zoomScaleNormal="80" zoomScalePageLayoutView="86" workbookViewId="0">
      <selection activeCell="D16" sqref="D16"/>
    </sheetView>
  </sheetViews>
  <sheetFormatPr defaultColWidth="11.42578125" defaultRowHeight="19.5" x14ac:dyDescent="0.3"/>
  <cols>
    <col min="1" max="2" width="11.42578125" style="133"/>
    <col min="3" max="3" width="28" style="133" customWidth="1"/>
    <col min="4" max="4" width="126" style="133" customWidth="1"/>
    <col min="5" max="5" width="11.42578125" style="133"/>
    <col min="6" max="6" width="42.28515625" style="133" customWidth="1"/>
    <col min="7" max="16384" width="11.42578125" style="133"/>
  </cols>
  <sheetData>
    <row r="1" spans="1:6" x14ac:dyDescent="0.3">
      <c r="A1" s="130"/>
      <c r="B1" s="131"/>
      <c r="C1" s="130"/>
      <c r="D1" s="132"/>
      <c r="E1" s="130"/>
      <c r="F1" s="130"/>
    </row>
    <row r="2" spans="1:6" x14ac:dyDescent="0.3">
      <c r="A2" s="132"/>
      <c r="B2" s="130"/>
      <c r="C2" s="134"/>
      <c r="D2" s="132"/>
      <c r="E2" s="130"/>
      <c r="F2" s="130"/>
    </row>
    <row r="3" spans="1:6" x14ac:dyDescent="0.3">
      <c r="A3" s="130"/>
      <c r="B3" s="135"/>
      <c r="C3" s="130"/>
      <c r="D3" s="132"/>
      <c r="E3" s="130"/>
      <c r="F3" s="130"/>
    </row>
    <row r="4" spans="1:6" x14ac:dyDescent="0.3">
      <c r="A4" s="130"/>
      <c r="B4" s="130"/>
      <c r="C4" s="130"/>
      <c r="D4" s="132"/>
      <c r="E4" s="130"/>
      <c r="F4" s="130"/>
    </row>
    <row r="5" spans="1:6" ht="20.25" thickBot="1" x14ac:dyDescent="0.35">
      <c r="A5" s="130"/>
      <c r="B5" s="130"/>
      <c r="C5" s="131"/>
      <c r="D5" s="136"/>
      <c r="E5" s="130"/>
      <c r="F5" s="130"/>
    </row>
    <row r="6" spans="1:6" ht="20.25" thickBot="1" x14ac:dyDescent="0.35">
      <c r="A6" s="130"/>
      <c r="B6" s="132"/>
      <c r="C6" s="137" t="s">
        <v>182</v>
      </c>
      <c r="D6" s="138" t="s">
        <v>183</v>
      </c>
      <c r="E6" s="134"/>
      <c r="F6" s="130"/>
    </row>
    <row r="7" spans="1:6" x14ac:dyDescent="0.3">
      <c r="A7" s="130"/>
      <c r="B7" s="132"/>
      <c r="C7" s="155" t="s">
        <v>198</v>
      </c>
      <c r="D7" s="153" t="s">
        <v>219</v>
      </c>
      <c r="E7" s="134"/>
      <c r="F7" s="130"/>
    </row>
    <row r="8" spans="1:6" x14ac:dyDescent="0.3">
      <c r="A8" s="130"/>
      <c r="B8" s="132"/>
      <c r="C8" s="139" t="s">
        <v>184</v>
      </c>
      <c r="D8" s="140" t="s">
        <v>185</v>
      </c>
      <c r="E8" s="134"/>
      <c r="F8" s="130"/>
    </row>
    <row r="9" spans="1:6" ht="39" x14ac:dyDescent="0.3">
      <c r="A9" s="130"/>
      <c r="B9" s="132"/>
      <c r="C9" s="141" t="s">
        <v>186</v>
      </c>
      <c r="D9" s="140" t="s">
        <v>187</v>
      </c>
      <c r="E9" s="134"/>
      <c r="F9" s="130"/>
    </row>
    <row r="10" spans="1:6" ht="39" x14ac:dyDescent="0.3">
      <c r="A10" s="130"/>
      <c r="B10" s="132"/>
      <c r="C10" s="141" t="s">
        <v>188</v>
      </c>
      <c r="D10" s="142" t="s">
        <v>189</v>
      </c>
      <c r="E10" s="134"/>
      <c r="F10" s="144"/>
    </row>
    <row r="11" spans="1:6" ht="156" x14ac:dyDescent="0.3">
      <c r="A11" s="130"/>
      <c r="B11" s="132"/>
      <c r="C11" s="141" t="s">
        <v>190</v>
      </c>
      <c r="D11" s="143" t="s">
        <v>199</v>
      </c>
      <c r="E11" s="134"/>
      <c r="F11" s="146"/>
    </row>
    <row r="12" spans="1:6" ht="97.5" x14ac:dyDescent="0.3">
      <c r="A12" s="130"/>
      <c r="B12" s="132"/>
      <c r="C12" s="139" t="s">
        <v>191</v>
      </c>
      <c r="D12" s="145" t="s">
        <v>201</v>
      </c>
      <c r="E12" s="134"/>
      <c r="F12" s="144"/>
    </row>
    <row r="13" spans="1:6" ht="25.5" customHeight="1" x14ac:dyDescent="0.3">
      <c r="A13" s="130"/>
      <c r="B13" s="132"/>
      <c r="C13" s="139" t="s">
        <v>192</v>
      </c>
      <c r="D13" s="147" t="s">
        <v>202</v>
      </c>
      <c r="E13" s="134"/>
      <c r="F13" s="130"/>
    </row>
    <row r="14" spans="1:6" ht="20.25" customHeight="1" x14ac:dyDescent="0.3">
      <c r="A14" s="130"/>
      <c r="B14" s="132"/>
      <c r="C14" s="148" t="s">
        <v>193</v>
      </c>
      <c r="D14" s="149" t="s">
        <v>197</v>
      </c>
      <c r="E14" s="134"/>
      <c r="F14" s="130"/>
    </row>
    <row r="15" spans="1:6" ht="156" x14ac:dyDescent="0.3">
      <c r="A15" s="130"/>
      <c r="B15" s="132"/>
      <c r="C15" s="141" t="s">
        <v>194</v>
      </c>
      <c r="D15" s="154" t="s">
        <v>200</v>
      </c>
      <c r="E15" s="134"/>
      <c r="F15" s="130"/>
    </row>
    <row r="16" spans="1:6" ht="111" customHeight="1" x14ac:dyDescent="0.3">
      <c r="A16" s="130"/>
      <c r="B16" s="132"/>
      <c r="C16" s="150" t="s">
        <v>195</v>
      </c>
      <c r="D16" s="227" t="s">
        <v>220</v>
      </c>
      <c r="E16" s="134"/>
      <c r="F16" s="130"/>
    </row>
    <row r="17" spans="1:6" ht="137.25" thickBot="1" x14ac:dyDescent="0.35">
      <c r="A17" s="130"/>
      <c r="B17" s="130"/>
      <c r="C17" s="151" t="s">
        <v>196</v>
      </c>
      <c r="D17" s="152" t="s">
        <v>203</v>
      </c>
      <c r="E17" s="130"/>
      <c r="F17" s="130"/>
    </row>
    <row r="18" spans="1:6" x14ac:dyDescent="0.3">
      <c r="A18" s="130"/>
      <c r="B18" s="130"/>
      <c r="C18" s="130"/>
      <c r="D18" s="130"/>
      <c r="E18" s="130"/>
      <c r="F18" s="130"/>
    </row>
    <row r="19" spans="1:6" x14ac:dyDescent="0.3">
      <c r="A19" s="130"/>
      <c r="B19" s="130"/>
      <c r="C19" s="130"/>
      <c r="D19" s="130"/>
      <c r="E19" s="130"/>
      <c r="F19" s="130"/>
    </row>
    <row r="20" spans="1:6" x14ac:dyDescent="0.3">
      <c r="A20" s="130"/>
      <c r="B20" s="130"/>
      <c r="C20" s="130"/>
      <c r="D20" s="130"/>
      <c r="E20" s="130"/>
      <c r="F20" s="130"/>
    </row>
    <row r="21" spans="1:6" x14ac:dyDescent="0.3">
      <c r="A21" s="130"/>
      <c r="B21" s="130"/>
      <c r="C21" s="130"/>
      <c r="D21" s="130"/>
      <c r="E21" s="130"/>
      <c r="F21" s="130"/>
    </row>
    <row r="22" spans="1:6" x14ac:dyDescent="0.3">
      <c r="A22" s="130"/>
      <c r="B22" s="130"/>
      <c r="C22" s="130"/>
      <c r="D22" s="130"/>
      <c r="E22" s="130"/>
      <c r="F22" s="130"/>
    </row>
    <row r="23" spans="1:6" x14ac:dyDescent="0.3">
      <c r="A23" s="130"/>
      <c r="B23" s="130"/>
      <c r="C23" s="130"/>
      <c r="D23" s="130"/>
      <c r="E23" s="130"/>
      <c r="F23" s="130"/>
    </row>
    <row r="24" spans="1:6" x14ac:dyDescent="0.3">
      <c r="A24" s="130"/>
      <c r="B24" s="130"/>
      <c r="C24" s="130"/>
      <c r="D24" s="130"/>
      <c r="E24" s="130"/>
      <c r="F24" s="130"/>
    </row>
    <row r="25" spans="1:6" x14ac:dyDescent="0.3">
      <c r="A25" s="130"/>
      <c r="B25" s="130"/>
      <c r="C25" s="130"/>
      <c r="D25" s="130"/>
      <c r="E25" s="130"/>
      <c r="F25" s="130"/>
    </row>
    <row r="26" spans="1:6" x14ac:dyDescent="0.3">
      <c r="A26" s="130"/>
      <c r="B26" s="130"/>
      <c r="C26" s="130"/>
      <c r="D26" s="130"/>
      <c r="E26" s="130"/>
      <c r="F26" s="130"/>
    </row>
    <row r="27" spans="1:6" x14ac:dyDescent="0.3">
      <c r="A27" s="130"/>
      <c r="B27" s="130"/>
      <c r="C27" s="130"/>
      <c r="D27" s="130"/>
      <c r="E27" s="130"/>
      <c r="F27" s="130"/>
    </row>
    <row r="28" spans="1:6" x14ac:dyDescent="0.3">
      <c r="A28" s="130"/>
      <c r="B28" s="130"/>
      <c r="C28" s="130"/>
      <c r="D28" s="130"/>
      <c r="E28" s="130"/>
      <c r="F28" s="130"/>
    </row>
    <row r="29" spans="1:6" x14ac:dyDescent="0.3">
      <c r="A29" s="130"/>
      <c r="B29" s="130"/>
      <c r="C29" s="130"/>
      <c r="D29" s="130"/>
      <c r="E29" s="130"/>
      <c r="F29" s="130"/>
    </row>
    <row r="30" spans="1:6" x14ac:dyDescent="0.3">
      <c r="A30" s="130"/>
      <c r="B30" s="130"/>
      <c r="C30" s="130"/>
      <c r="D30" s="130"/>
      <c r="E30" s="130"/>
      <c r="F30" s="130"/>
    </row>
    <row r="31" spans="1:6" x14ac:dyDescent="0.3">
      <c r="A31" s="130"/>
      <c r="B31" s="130"/>
      <c r="C31" s="130"/>
      <c r="D31" s="130"/>
      <c r="E31" s="130"/>
      <c r="F31" s="130"/>
    </row>
    <row r="32" spans="1:6" x14ac:dyDescent="0.3">
      <c r="A32" s="130"/>
      <c r="B32" s="130"/>
      <c r="C32" s="130"/>
      <c r="D32" s="130"/>
      <c r="E32" s="130"/>
      <c r="F32" s="130"/>
    </row>
    <row r="33" spans="1:6" x14ac:dyDescent="0.3">
      <c r="A33" s="130"/>
      <c r="B33" s="130"/>
      <c r="C33" s="130"/>
      <c r="D33" s="130"/>
      <c r="E33" s="130"/>
      <c r="F33" s="130"/>
    </row>
    <row r="34" spans="1:6" x14ac:dyDescent="0.3">
      <c r="A34" s="130"/>
      <c r="B34" s="130"/>
      <c r="C34" s="130"/>
      <c r="D34" s="130"/>
      <c r="E34" s="130"/>
      <c r="F34" s="130"/>
    </row>
    <row r="35" spans="1:6" x14ac:dyDescent="0.3">
      <c r="A35" s="130"/>
      <c r="B35" s="130"/>
      <c r="C35" s="130"/>
      <c r="D35" s="130"/>
      <c r="E35" s="130"/>
      <c r="F35" s="130"/>
    </row>
    <row r="36" spans="1:6" x14ac:dyDescent="0.3">
      <c r="A36" s="130"/>
      <c r="B36" s="130"/>
      <c r="C36" s="130"/>
      <c r="D36" s="130"/>
      <c r="E36" s="130"/>
      <c r="F36" s="130"/>
    </row>
    <row r="37" spans="1:6" x14ac:dyDescent="0.3">
      <c r="A37" s="130"/>
      <c r="B37" s="130"/>
      <c r="C37" s="130"/>
      <c r="D37" s="130"/>
      <c r="E37" s="130"/>
      <c r="F37" s="130"/>
    </row>
    <row r="38" spans="1:6" x14ac:dyDescent="0.3">
      <c r="A38" s="130"/>
      <c r="B38" s="130"/>
      <c r="C38" s="130"/>
      <c r="D38" s="130"/>
      <c r="E38" s="130"/>
      <c r="F38" s="130"/>
    </row>
    <row r="39" spans="1:6" x14ac:dyDescent="0.3">
      <c r="A39" s="130"/>
      <c r="B39" s="130"/>
      <c r="C39" s="130"/>
      <c r="D39" s="130"/>
      <c r="E39" s="130"/>
      <c r="F39" s="130"/>
    </row>
    <row r="40" spans="1:6" x14ac:dyDescent="0.3">
      <c r="A40" s="130"/>
      <c r="B40" s="130"/>
      <c r="C40" s="130"/>
      <c r="D40" s="130"/>
      <c r="E40" s="130"/>
      <c r="F40" s="130"/>
    </row>
    <row r="41" spans="1:6" x14ac:dyDescent="0.3">
      <c r="A41" s="130"/>
      <c r="B41" s="130"/>
      <c r="C41" s="130"/>
      <c r="D41" s="130"/>
      <c r="E41" s="130"/>
      <c r="F41" s="130"/>
    </row>
    <row r="42" spans="1:6" x14ac:dyDescent="0.3">
      <c r="A42" s="130"/>
      <c r="B42" s="130"/>
      <c r="C42" s="130"/>
      <c r="D42" s="130"/>
      <c r="E42" s="130"/>
      <c r="F42" s="130"/>
    </row>
    <row r="43" spans="1:6" x14ac:dyDescent="0.3">
      <c r="A43" s="130"/>
      <c r="B43" s="130"/>
      <c r="C43" s="130"/>
      <c r="D43" s="130"/>
      <c r="E43" s="130"/>
      <c r="F43" s="130"/>
    </row>
    <row r="44" spans="1:6" x14ac:dyDescent="0.3">
      <c r="A44" s="130"/>
      <c r="B44" s="130"/>
      <c r="C44" s="130"/>
      <c r="D44" s="130"/>
      <c r="E44" s="130"/>
      <c r="F44" s="130"/>
    </row>
    <row r="45" spans="1:6" x14ac:dyDescent="0.3">
      <c r="A45" s="130"/>
      <c r="B45" s="130"/>
      <c r="C45" s="130"/>
      <c r="D45" s="130"/>
      <c r="E45" s="130"/>
      <c r="F45" s="130"/>
    </row>
    <row r="46" spans="1:6" x14ac:dyDescent="0.3">
      <c r="A46" s="130"/>
      <c r="B46" s="130"/>
      <c r="C46" s="130"/>
      <c r="D46" s="130"/>
      <c r="E46" s="130"/>
      <c r="F46" s="130"/>
    </row>
    <row r="47" spans="1:6" x14ac:dyDescent="0.3">
      <c r="A47" s="130"/>
      <c r="B47" s="130"/>
      <c r="C47" s="130"/>
      <c r="D47" s="130"/>
      <c r="E47" s="130"/>
      <c r="F47" s="130"/>
    </row>
    <row r="48" spans="1:6" x14ac:dyDescent="0.3">
      <c r="A48" s="130"/>
      <c r="B48" s="130"/>
      <c r="C48" s="130"/>
      <c r="D48" s="130"/>
      <c r="E48" s="130"/>
      <c r="F48" s="130"/>
    </row>
    <row r="49" spans="1:6" x14ac:dyDescent="0.3">
      <c r="A49" s="130"/>
      <c r="B49" s="130"/>
      <c r="C49" s="130"/>
      <c r="D49" s="130"/>
      <c r="E49" s="130"/>
      <c r="F49" s="130"/>
    </row>
    <row r="50" spans="1:6" x14ac:dyDescent="0.3">
      <c r="A50" s="130"/>
      <c r="B50" s="130"/>
      <c r="C50" s="130"/>
      <c r="D50" s="130"/>
      <c r="E50" s="130"/>
      <c r="F50" s="130"/>
    </row>
    <row r="51" spans="1:6" x14ac:dyDescent="0.3">
      <c r="A51" s="130"/>
      <c r="B51" s="130"/>
      <c r="C51" s="130"/>
      <c r="D51" s="130"/>
      <c r="E51" s="130"/>
      <c r="F51" s="130"/>
    </row>
    <row r="52" spans="1:6" x14ac:dyDescent="0.3">
      <c r="A52" s="130"/>
      <c r="B52" s="130"/>
      <c r="C52" s="130"/>
      <c r="D52" s="130"/>
      <c r="E52" s="130"/>
      <c r="F52" s="130"/>
    </row>
    <row r="53" spans="1:6" x14ac:dyDescent="0.3">
      <c r="A53" s="130"/>
      <c r="B53" s="130"/>
      <c r="C53" s="130"/>
      <c r="D53" s="130"/>
      <c r="E53" s="130"/>
      <c r="F53" s="130"/>
    </row>
    <row r="54" spans="1:6" x14ac:dyDescent="0.3">
      <c r="A54" s="130"/>
      <c r="B54" s="130"/>
      <c r="C54" s="130"/>
      <c r="D54" s="130"/>
      <c r="E54" s="130"/>
      <c r="F54" s="130"/>
    </row>
    <row r="55" spans="1:6" x14ac:dyDescent="0.3">
      <c r="A55" s="130"/>
      <c r="B55" s="130"/>
      <c r="C55" s="130"/>
      <c r="D55" s="130"/>
      <c r="E55" s="130"/>
      <c r="F55" s="130"/>
    </row>
    <row r="56" spans="1:6" x14ac:dyDescent="0.3">
      <c r="A56" s="130"/>
      <c r="B56" s="130"/>
      <c r="C56" s="130"/>
      <c r="D56" s="130"/>
      <c r="E56" s="130"/>
      <c r="F56" s="130"/>
    </row>
    <row r="57" spans="1:6" x14ac:dyDescent="0.3">
      <c r="A57" s="130"/>
      <c r="B57" s="130"/>
      <c r="C57" s="130"/>
      <c r="D57" s="130"/>
      <c r="E57" s="130"/>
      <c r="F57" s="130"/>
    </row>
    <row r="58" spans="1:6" x14ac:dyDescent="0.3">
      <c r="A58" s="130"/>
      <c r="B58" s="130"/>
      <c r="C58" s="130"/>
      <c r="D58" s="130"/>
      <c r="E58" s="130"/>
      <c r="F58" s="130"/>
    </row>
    <row r="59" spans="1:6" x14ac:dyDescent="0.3">
      <c r="A59" s="130"/>
      <c r="B59" s="130"/>
    </row>
    <row r="60" spans="1:6" x14ac:dyDescent="0.3">
      <c r="A60" s="130"/>
      <c r="B60" s="130"/>
    </row>
    <row r="61" spans="1:6" x14ac:dyDescent="0.3">
      <c r="A61" s="130"/>
      <c r="B61" s="130"/>
    </row>
    <row r="62" spans="1:6" x14ac:dyDescent="0.3">
      <c r="A62" s="130"/>
      <c r="B62" s="130"/>
    </row>
    <row r="63" spans="1:6" x14ac:dyDescent="0.3">
      <c r="A63" s="130"/>
      <c r="B63" s="130"/>
    </row>
    <row r="64" spans="1:6" x14ac:dyDescent="0.3">
      <c r="A64" s="130"/>
      <c r="B64" s="130"/>
    </row>
    <row r="65" spans="1:2" x14ac:dyDescent="0.3">
      <c r="A65" s="130"/>
      <c r="B65" s="130"/>
    </row>
    <row r="66" spans="1:2" x14ac:dyDescent="0.3">
      <c r="A66" s="130"/>
      <c r="B66" s="130"/>
    </row>
    <row r="67" spans="1:2" x14ac:dyDescent="0.3">
      <c r="A67" s="130"/>
      <c r="B67" s="130"/>
    </row>
    <row r="68" spans="1:2" x14ac:dyDescent="0.3">
      <c r="A68" s="130"/>
      <c r="B68" s="130"/>
    </row>
    <row r="69" spans="1:2" x14ac:dyDescent="0.3">
      <c r="A69" s="130"/>
      <c r="B69" s="130"/>
    </row>
    <row r="70" spans="1:2" x14ac:dyDescent="0.3">
      <c r="A70" s="130"/>
      <c r="B70" s="130"/>
    </row>
    <row r="71" spans="1:2" x14ac:dyDescent="0.3">
      <c r="A71" s="130"/>
      <c r="B71" s="130"/>
    </row>
    <row r="72" spans="1:2" x14ac:dyDescent="0.3">
      <c r="A72" s="130"/>
      <c r="B72" s="130"/>
    </row>
    <row r="73" spans="1:2" x14ac:dyDescent="0.3">
      <c r="A73" s="130"/>
      <c r="B73" s="130"/>
    </row>
    <row r="74" spans="1:2" x14ac:dyDescent="0.3">
      <c r="A74" s="130"/>
      <c r="B74" s="130"/>
    </row>
    <row r="75" spans="1:2" x14ac:dyDescent="0.3">
      <c r="A75" s="130"/>
      <c r="B75" s="130"/>
    </row>
    <row r="76" spans="1:2" x14ac:dyDescent="0.3">
      <c r="A76" s="130"/>
      <c r="B76" s="130"/>
    </row>
    <row r="77" spans="1:2" x14ac:dyDescent="0.3">
      <c r="A77" s="130"/>
      <c r="B77" s="130"/>
    </row>
    <row r="78" spans="1:2" x14ac:dyDescent="0.3">
      <c r="A78" s="130"/>
      <c r="B78" s="130"/>
    </row>
    <row r="79" spans="1:2" x14ac:dyDescent="0.3">
      <c r="A79" s="130"/>
      <c r="B79" s="130"/>
    </row>
    <row r="80" spans="1:2" x14ac:dyDescent="0.3">
      <c r="A80" s="130"/>
      <c r="B80" s="130"/>
    </row>
  </sheetData>
  <hyperlinks>
    <hyperlink ref="D14" r:id="rId1" display="info@ghgplatform-india.org" xr:uid="{00000000-0004-0000-0000-000000000000}"/>
  </hyperlinks>
  <pageMargins left="0.75" right="0.75" top="1" bottom="1" header="0.5" footer="0.5"/>
  <pageSetup paperSize="9" orientation="portrait"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D10"/>
  <sheetViews>
    <sheetView zoomScale="80" zoomScaleNormal="80" workbookViewId="0">
      <selection activeCell="C21" sqref="C21"/>
    </sheetView>
  </sheetViews>
  <sheetFormatPr defaultColWidth="9.140625" defaultRowHeight="15" x14ac:dyDescent="0.25"/>
  <cols>
    <col min="1" max="2" width="9.140625" style="219"/>
    <col min="3" max="3" width="25.42578125" style="219" customWidth="1"/>
    <col min="4" max="4" width="83.140625" style="219" customWidth="1"/>
    <col min="5" max="16384" width="9.140625" style="219"/>
  </cols>
  <sheetData>
    <row r="3" spans="3:4" ht="15.75" thickBot="1" x14ac:dyDescent="0.3"/>
    <row r="4" spans="3:4" ht="15.75" x14ac:dyDescent="0.25">
      <c r="C4" s="220" t="s">
        <v>205</v>
      </c>
      <c r="D4" s="221" t="s">
        <v>206</v>
      </c>
    </row>
    <row r="5" spans="3:4" ht="15.75" x14ac:dyDescent="0.25">
      <c r="C5" s="58" t="s">
        <v>207</v>
      </c>
      <c r="D5" s="191" t="s">
        <v>212</v>
      </c>
    </row>
    <row r="6" spans="3:4" ht="16.5" customHeight="1" x14ac:dyDescent="0.25">
      <c r="C6" s="222" t="s">
        <v>208</v>
      </c>
      <c r="D6" s="223" t="s">
        <v>213</v>
      </c>
    </row>
    <row r="7" spans="3:4" ht="18" customHeight="1" x14ac:dyDescent="0.25">
      <c r="C7" s="222" t="s">
        <v>217</v>
      </c>
      <c r="D7" s="223" t="s">
        <v>218</v>
      </c>
    </row>
    <row r="8" spans="3:4" ht="18" customHeight="1" x14ac:dyDescent="0.25">
      <c r="C8" s="222" t="s">
        <v>209</v>
      </c>
      <c r="D8" s="224" t="s">
        <v>214</v>
      </c>
    </row>
    <row r="9" spans="3:4" ht="18.75" customHeight="1" x14ac:dyDescent="0.25">
      <c r="C9" s="222" t="s">
        <v>210</v>
      </c>
      <c r="D9" s="223" t="s">
        <v>215</v>
      </c>
    </row>
    <row r="10" spans="3:4" ht="20.25" customHeight="1" thickBot="1" x14ac:dyDescent="0.3">
      <c r="C10" s="225" t="s">
        <v>211</v>
      </c>
      <c r="D10" s="226" t="s">
        <v>216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2"/>
  <sheetViews>
    <sheetView topLeftCell="C16" zoomScale="80" zoomScaleNormal="80" zoomScalePageLayoutView="80" workbookViewId="0">
      <selection activeCell="I2" sqref="I2"/>
    </sheetView>
  </sheetViews>
  <sheetFormatPr defaultColWidth="8.85546875" defaultRowHeight="15.75" x14ac:dyDescent="0.25"/>
  <cols>
    <col min="1" max="1" width="8.85546875" style="11"/>
    <col min="2" max="2" width="28.28515625" style="11" customWidth="1"/>
    <col min="3" max="3" width="28.7109375" style="11" customWidth="1"/>
    <col min="4" max="4" width="17" style="11" customWidth="1"/>
    <col min="5" max="5" width="16.7109375" style="11" bestFit="1" customWidth="1"/>
    <col min="6" max="6" width="25.85546875" style="11" bestFit="1" customWidth="1"/>
    <col min="7" max="7" width="27.42578125" style="11" bestFit="1" customWidth="1"/>
    <col min="8" max="8" width="15.42578125" style="11" customWidth="1"/>
    <col min="9" max="14" width="16.5703125" style="11" bestFit="1" customWidth="1"/>
    <col min="15" max="16384" width="8.85546875" style="11"/>
  </cols>
  <sheetData>
    <row r="1" spans="1:14" x14ac:dyDescent="0.25">
      <c r="A1" s="169" t="s">
        <v>149</v>
      </c>
      <c r="B1" s="169" t="s">
        <v>150</v>
      </c>
      <c r="C1" s="169" t="s">
        <v>151</v>
      </c>
      <c r="D1" s="169" t="s">
        <v>152</v>
      </c>
      <c r="E1" s="169" t="s">
        <v>153</v>
      </c>
      <c r="F1" s="169" t="s">
        <v>154</v>
      </c>
      <c r="G1" s="170" t="s">
        <v>155</v>
      </c>
      <c r="H1" s="170" t="s">
        <v>63</v>
      </c>
      <c r="I1" s="171">
        <v>2007</v>
      </c>
      <c r="J1" s="171">
        <v>2008</v>
      </c>
      <c r="K1" s="171">
        <v>2009</v>
      </c>
      <c r="L1" s="171">
        <v>2010</v>
      </c>
      <c r="M1" s="171">
        <v>2011</v>
      </c>
      <c r="N1" s="171">
        <v>2012</v>
      </c>
    </row>
    <row r="2" spans="1:14" ht="15.75" customHeight="1" x14ac:dyDescent="0.25">
      <c r="A2" s="23" t="s">
        <v>156</v>
      </c>
      <c r="B2" s="23" t="s">
        <v>157</v>
      </c>
      <c r="C2" s="24" t="s">
        <v>158</v>
      </c>
      <c r="D2" s="24" t="s">
        <v>159</v>
      </c>
      <c r="E2" s="24" t="s">
        <v>106</v>
      </c>
      <c r="F2" s="24" t="s">
        <v>160</v>
      </c>
      <c r="G2" s="24" t="s">
        <v>161</v>
      </c>
      <c r="H2" s="25" t="s">
        <v>162</v>
      </c>
      <c r="I2" s="159">
        <f>Calculations!C32*10^6</f>
        <v>605153978.02859998</v>
      </c>
      <c r="J2" s="159">
        <f>Calculations!D32*10^6</f>
        <v>649060093.78209996</v>
      </c>
      <c r="K2" s="159">
        <f>Calculations!E32*10^6</f>
        <v>676042277.96105003</v>
      </c>
      <c r="L2" s="159">
        <f>Calculations!F32*10^6</f>
        <v>707141424.54669988</v>
      </c>
      <c r="M2" s="159">
        <f>Calculations!G32*10^6</f>
        <v>767956896.05992496</v>
      </c>
      <c r="N2" s="159">
        <f>Calculations!H32*10^6</f>
        <v>837554060.91142488</v>
      </c>
    </row>
    <row r="3" spans="1:14" ht="15.75" customHeight="1" x14ac:dyDescent="0.25">
      <c r="A3" s="23" t="s">
        <v>156</v>
      </c>
      <c r="B3" s="23" t="s">
        <v>157</v>
      </c>
      <c r="C3" s="24" t="s">
        <v>158</v>
      </c>
      <c r="D3" s="24" t="s">
        <v>159</v>
      </c>
      <c r="E3" s="24" t="s">
        <v>107</v>
      </c>
      <c r="F3" s="24" t="s">
        <v>160</v>
      </c>
      <c r="G3" s="24" t="s">
        <v>161</v>
      </c>
      <c r="H3" s="25" t="s">
        <v>162</v>
      </c>
      <c r="I3" s="159">
        <f>Calculations!C33*10^6</f>
        <v>3820290.7855717577</v>
      </c>
      <c r="J3" s="159">
        <f>Calculations!D33*10^6</f>
        <v>4037690.8497122023</v>
      </c>
      <c r="K3" s="159">
        <f>Calculations!E33*10^6</f>
        <v>3279004.8302762858</v>
      </c>
      <c r="L3" s="159">
        <f>Calculations!F33*10^6</f>
        <v>2774080.5841519572</v>
      </c>
      <c r="M3" s="159">
        <f>Calculations!G33*10^6</f>
        <v>2541476.561943592</v>
      </c>
      <c r="N3" s="159">
        <f>Calculations!H33*10^6</f>
        <v>2341123.4394186493</v>
      </c>
    </row>
    <row r="4" spans="1:14" ht="15.75" customHeight="1" x14ac:dyDescent="0.25">
      <c r="A4" s="23" t="s">
        <v>156</v>
      </c>
      <c r="B4" s="23" t="s">
        <v>157</v>
      </c>
      <c r="C4" s="24" t="s">
        <v>158</v>
      </c>
      <c r="D4" s="24" t="s">
        <v>159</v>
      </c>
      <c r="E4" s="24" t="s">
        <v>108</v>
      </c>
      <c r="F4" s="24" t="s">
        <v>160</v>
      </c>
      <c r="G4" s="24" t="s">
        <v>161</v>
      </c>
      <c r="H4" s="25" t="s">
        <v>162</v>
      </c>
      <c r="I4" s="159">
        <f>Calculations!C34*10^6</f>
        <v>2150613.4133003601</v>
      </c>
      <c r="J4" s="159">
        <f>Calculations!D34*10^6</f>
        <v>1878816.816757472</v>
      </c>
      <c r="K4" s="159">
        <f>Calculations!E34*10^6</f>
        <v>1785314.5975476559</v>
      </c>
      <c r="L4" s="159">
        <f>Calculations!F34*10^6</f>
        <v>1581444.9407780503</v>
      </c>
      <c r="M4" s="159">
        <f>Calculations!G34*10^6</f>
        <v>1521160.6129254682</v>
      </c>
      <c r="N4" s="159">
        <f>Calculations!H34*10^6</f>
        <v>1532562.9144095769</v>
      </c>
    </row>
    <row r="5" spans="1:14" ht="15.75" customHeight="1" x14ac:dyDescent="0.25">
      <c r="A5" s="23" t="s">
        <v>156</v>
      </c>
      <c r="B5" s="23" t="s">
        <v>157</v>
      </c>
      <c r="C5" s="24" t="s">
        <v>158</v>
      </c>
      <c r="D5" s="24" t="s">
        <v>159</v>
      </c>
      <c r="E5" s="24" t="s">
        <v>109</v>
      </c>
      <c r="F5" s="24" t="s">
        <v>160</v>
      </c>
      <c r="G5" s="24" t="s">
        <v>161</v>
      </c>
      <c r="H5" s="25" t="s">
        <v>162</v>
      </c>
      <c r="I5" s="159">
        <f>Calculations!C35*10^6</f>
        <v>2349599.3955630735</v>
      </c>
      <c r="J5" s="159">
        <f>Calculations!D35*10^6</f>
        <v>2567946.4219409535</v>
      </c>
      <c r="K5" s="159">
        <f>Calculations!E35*10^6</f>
        <v>2078240.4243118155</v>
      </c>
      <c r="L5" s="159">
        <f>Calculations!F35*10^6</f>
        <v>1375700.6516641239</v>
      </c>
      <c r="M5" s="159">
        <f>Calculations!G35*10^6</f>
        <v>1123395.2600579774</v>
      </c>
      <c r="N5" s="159">
        <f>Calculations!H35*10^6</f>
        <v>1013332.1839208144</v>
      </c>
    </row>
    <row r="6" spans="1:14" ht="15.75" customHeight="1" x14ac:dyDescent="0.25">
      <c r="A6" s="23" t="s">
        <v>156</v>
      </c>
      <c r="B6" s="23" t="s">
        <v>157</v>
      </c>
      <c r="C6" s="24" t="s">
        <v>158</v>
      </c>
      <c r="D6" s="24" t="s">
        <v>159</v>
      </c>
      <c r="E6" s="24" t="s">
        <v>171</v>
      </c>
      <c r="F6" s="24" t="s">
        <v>160</v>
      </c>
      <c r="G6" s="24" t="s">
        <v>161</v>
      </c>
      <c r="H6" s="25" t="s">
        <v>162</v>
      </c>
      <c r="I6" s="159">
        <f>Calculations!C36*10^6</f>
        <v>29020292.674559999</v>
      </c>
      <c r="J6" s="159">
        <f>Calculations!D36*10^6</f>
        <v>27323185.903200001</v>
      </c>
      <c r="K6" s="159">
        <f>Calculations!E36*10^6</f>
        <v>39049052.034960002</v>
      </c>
      <c r="L6" s="159">
        <f>Calculations!F36*10^6</f>
        <v>46821370.210559994</v>
      </c>
      <c r="M6" s="159">
        <f>Calculations!G36*10^6</f>
        <v>42364575.970199995</v>
      </c>
      <c r="N6" s="159">
        <f>Calculations!H36*10^6</f>
        <v>34817040.755639993</v>
      </c>
    </row>
    <row r="7" spans="1:14" ht="15.75" customHeight="1" x14ac:dyDescent="0.25">
      <c r="A7" s="23" t="s">
        <v>156</v>
      </c>
      <c r="B7" s="23" t="s">
        <v>157</v>
      </c>
      <c r="C7" s="24" t="s">
        <v>158</v>
      </c>
      <c r="D7" s="24" t="s">
        <v>159</v>
      </c>
      <c r="E7" s="24" t="s">
        <v>110</v>
      </c>
      <c r="F7" s="24" t="s">
        <v>160</v>
      </c>
      <c r="G7" s="24" t="s">
        <v>161</v>
      </c>
      <c r="H7" s="25" t="s">
        <v>162</v>
      </c>
      <c r="I7" s="159">
        <f>Calculations!C37*10^6</f>
        <v>26136560.835000001</v>
      </c>
      <c r="J7" s="159">
        <f>Calculations!D37*10^6</f>
        <v>26078445.302249998</v>
      </c>
      <c r="K7" s="159">
        <f>Calculations!E37*10^6</f>
        <v>27125296.336874995</v>
      </c>
      <c r="L7" s="159">
        <f>Calculations!F37*10^6</f>
        <v>29224141.373625003</v>
      </c>
      <c r="M7" s="159">
        <f>Calculations!G37*10^6</f>
        <v>30892005.733875003</v>
      </c>
      <c r="N7" s="159">
        <f>Calculations!H37*10^6</f>
        <v>32376266.154374994</v>
      </c>
    </row>
    <row r="8" spans="1:14" ht="15.75" customHeight="1" x14ac:dyDescent="0.25">
      <c r="A8" s="23" t="s">
        <v>156</v>
      </c>
      <c r="B8" s="23" t="s">
        <v>157</v>
      </c>
      <c r="C8" s="24" t="s">
        <v>158</v>
      </c>
      <c r="D8" s="24" t="s">
        <v>159</v>
      </c>
      <c r="E8" s="24" t="s">
        <v>113</v>
      </c>
      <c r="F8" s="24" t="s">
        <v>160</v>
      </c>
      <c r="G8" s="24" t="s">
        <v>161</v>
      </c>
      <c r="H8" s="25" t="s">
        <v>162</v>
      </c>
      <c r="I8" s="159">
        <f>Calculations!C38*10^6</f>
        <v>1864169.8244064492</v>
      </c>
      <c r="J8" s="159">
        <f>Calculations!D38*10^6</f>
        <v>3242316.2718019132</v>
      </c>
      <c r="K8" s="159">
        <f>Calculations!E38*10^6</f>
        <v>3006130.226153791</v>
      </c>
      <c r="L8" s="159">
        <f>Calculations!F38*10^6</f>
        <v>1730052.2982049959</v>
      </c>
      <c r="M8" s="159">
        <f>Calculations!G38*10^6</f>
        <v>1872324.2034793585</v>
      </c>
      <c r="N8" s="159">
        <f>Calculations!H38*10^6</f>
        <v>2527652.1165002659</v>
      </c>
    </row>
    <row r="9" spans="1:14" ht="15.75" customHeight="1" x14ac:dyDescent="0.25">
      <c r="A9" s="23" t="s">
        <v>156</v>
      </c>
      <c r="B9" s="23" t="s">
        <v>157</v>
      </c>
      <c r="C9" s="24" t="s">
        <v>158</v>
      </c>
      <c r="D9" s="24" t="s">
        <v>159</v>
      </c>
      <c r="E9" s="24" t="s">
        <v>106</v>
      </c>
      <c r="F9" s="24" t="s">
        <v>160</v>
      </c>
      <c r="G9" s="24" t="s">
        <v>161</v>
      </c>
      <c r="H9" s="160" t="s">
        <v>163</v>
      </c>
      <c r="I9" s="159">
        <f>Calculations!K32*10^6</f>
        <v>6316.1880600000004</v>
      </c>
      <c r="J9" s="159">
        <f>Calculations!L32*10^6</f>
        <v>6774.4504099999995</v>
      </c>
      <c r="K9" s="159">
        <f>Calculations!M32*10^6</f>
        <v>7056.0722049999995</v>
      </c>
      <c r="L9" s="159">
        <f>Calculations!N32*10^6</f>
        <v>7380.6640699999989</v>
      </c>
      <c r="M9" s="159">
        <f>Calculations!O32*10^6</f>
        <v>8015.4148425000003</v>
      </c>
      <c r="N9" s="159">
        <f>Calculations!P32*10^6</f>
        <v>8741.8229924999978</v>
      </c>
    </row>
    <row r="10" spans="1:14" ht="15.75" customHeight="1" x14ac:dyDescent="0.25">
      <c r="A10" s="23" t="s">
        <v>156</v>
      </c>
      <c r="B10" s="23" t="s">
        <v>157</v>
      </c>
      <c r="C10" s="24" t="s">
        <v>158</v>
      </c>
      <c r="D10" s="24" t="s">
        <v>159</v>
      </c>
      <c r="E10" s="24" t="s">
        <v>107</v>
      </c>
      <c r="F10" s="24" t="s">
        <v>160</v>
      </c>
      <c r="G10" s="24" t="s">
        <v>161</v>
      </c>
      <c r="H10" s="160" t="s">
        <v>163</v>
      </c>
      <c r="I10" s="159">
        <f>Calculations!K33*10^6</f>
        <v>148.07328626247121</v>
      </c>
      <c r="J10" s="159">
        <f>Calculations!L33*10^6</f>
        <v>156.4996453376823</v>
      </c>
      <c r="K10" s="159">
        <f>Calculations!M33*10^6</f>
        <v>127.09321047582503</v>
      </c>
      <c r="L10" s="159">
        <f>Calculations!N33*10^6</f>
        <v>107.52250326170375</v>
      </c>
      <c r="M10" s="159">
        <f>Calculations!O33*10^6</f>
        <v>98.506843486185701</v>
      </c>
      <c r="N10" s="159">
        <f>Calculations!P33*10^6</f>
        <v>90.741218582118179</v>
      </c>
    </row>
    <row r="11" spans="1:14" ht="15.75" customHeight="1" x14ac:dyDescent="0.25">
      <c r="A11" s="23" t="s">
        <v>156</v>
      </c>
      <c r="B11" s="23" t="s">
        <v>157</v>
      </c>
      <c r="C11" s="24" t="s">
        <v>158</v>
      </c>
      <c r="D11" s="24" t="s">
        <v>159</v>
      </c>
      <c r="E11" s="24" t="s">
        <v>108</v>
      </c>
      <c r="F11" s="24" t="s">
        <v>160</v>
      </c>
      <c r="G11" s="24" t="s">
        <v>161</v>
      </c>
      <c r="H11" s="160" t="s">
        <v>163</v>
      </c>
      <c r="I11" s="159">
        <f>Calculations!K34*10^6</f>
        <v>87.069368959528759</v>
      </c>
      <c r="J11" s="159">
        <f>Calculations!L34*10^6</f>
        <v>76.065458168318727</v>
      </c>
      <c r="K11" s="159">
        <f>Calculations!M34*10^6</f>
        <v>72.27994322055288</v>
      </c>
      <c r="L11" s="159">
        <f>Calculations!N34*10^6</f>
        <v>64.02611096267411</v>
      </c>
      <c r="M11" s="159">
        <f>Calculations!O34*10^6</f>
        <v>61.585449916010859</v>
      </c>
      <c r="N11" s="159">
        <f>Calculations!P34*10^6</f>
        <v>62.047081555043597</v>
      </c>
    </row>
    <row r="12" spans="1:14" ht="15.75" customHeight="1" x14ac:dyDescent="0.25">
      <c r="A12" s="23" t="s">
        <v>156</v>
      </c>
      <c r="B12" s="23" t="s">
        <v>157</v>
      </c>
      <c r="C12" s="24" t="s">
        <v>158</v>
      </c>
      <c r="D12" s="24" t="s">
        <v>159</v>
      </c>
      <c r="E12" s="24" t="s">
        <v>109</v>
      </c>
      <c r="F12" s="24" t="s">
        <v>160</v>
      </c>
      <c r="G12" s="24" t="s">
        <v>161</v>
      </c>
      <c r="H12" s="160" t="s">
        <v>163</v>
      </c>
      <c r="I12" s="159">
        <f>Calculations!K35*10^6</f>
        <v>96.163686039416376</v>
      </c>
      <c r="J12" s="159">
        <f>Calculations!L35*10^6</f>
        <v>105.10012640958881</v>
      </c>
      <c r="K12" s="159">
        <f>Calculations!M35*10^6</f>
        <v>85.057588989569524</v>
      </c>
      <c r="L12" s="159">
        <f>Calculations!N35*10^6</f>
        <v>56.304255866198801</v>
      </c>
      <c r="M12" s="159">
        <f>Calculations!O35*10^6</f>
        <v>45.977977901417901</v>
      </c>
      <c r="N12" s="159">
        <f>Calculations!P35*10^6</f>
        <v>41.473349955831424</v>
      </c>
    </row>
    <row r="13" spans="1:14" ht="15.75" customHeight="1" x14ac:dyDescent="0.25">
      <c r="A13" s="23" t="s">
        <v>156</v>
      </c>
      <c r="B13" s="23" t="s">
        <v>157</v>
      </c>
      <c r="C13" s="24" t="s">
        <v>158</v>
      </c>
      <c r="D13" s="24" t="s">
        <v>159</v>
      </c>
      <c r="E13" s="24" t="s">
        <v>171</v>
      </c>
      <c r="F13" s="24" t="s">
        <v>160</v>
      </c>
      <c r="G13" s="24" t="s">
        <v>161</v>
      </c>
      <c r="H13" s="160" t="s">
        <v>163</v>
      </c>
      <c r="I13" s="159">
        <f>Calculations!K36*10^6</f>
        <v>517.29576959999997</v>
      </c>
      <c r="J13" s="159">
        <f>Calculations!L36*10^6</f>
        <v>487.04431199999993</v>
      </c>
      <c r="K13" s="159">
        <f>Calculations!M36*10^6</f>
        <v>696.06153359999985</v>
      </c>
      <c r="L13" s="159">
        <f>Calculations!N36*10^6</f>
        <v>834.60552960000007</v>
      </c>
      <c r="M13" s="159">
        <f>Calculations!O36*10^6</f>
        <v>755.16178200000002</v>
      </c>
      <c r="N13" s="159">
        <f>Calculations!P36*10^6</f>
        <v>620.62461240000005</v>
      </c>
    </row>
    <row r="14" spans="1:14" ht="15.75" customHeight="1" x14ac:dyDescent="0.25">
      <c r="A14" s="23" t="s">
        <v>156</v>
      </c>
      <c r="B14" s="23" t="s">
        <v>157</v>
      </c>
      <c r="C14" s="24" t="s">
        <v>158</v>
      </c>
      <c r="D14" s="24" t="s">
        <v>159</v>
      </c>
      <c r="E14" s="24" t="s">
        <v>110</v>
      </c>
      <c r="F14" s="24" t="s">
        <v>160</v>
      </c>
      <c r="G14" s="24" t="s">
        <v>161</v>
      </c>
      <c r="H14" s="160" t="s">
        <v>163</v>
      </c>
      <c r="I14" s="159">
        <f>Calculations!K37*10^6</f>
        <v>246.22289999999998</v>
      </c>
      <c r="J14" s="159">
        <f>Calculations!L37*10^6</f>
        <v>245.67541499999996</v>
      </c>
      <c r="K14" s="159">
        <f>Calculations!M37*10^6</f>
        <v>255.53741249999999</v>
      </c>
      <c r="L14" s="159">
        <f>Calculations!N37*10^6</f>
        <v>275.30985749999996</v>
      </c>
      <c r="M14" s="159">
        <f>Calculations!O37*10^6</f>
        <v>291.02219249999996</v>
      </c>
      <c r="N14" s="159">
        <f>Calculations!P37*10^6</f>
        <v>305.00486249999994</v>
      </c>
    </row>
    <row r="15" spans="1:14" ht="15.75" customHeight="1" x14ac:dyDescent="0.25">
      <c r="A15" s="23" t="s">
        <v>156</v>
      </c>
      <c r="B15" s="23" t="s">
        <v>157</v>
      </c>
      <c r="C15" s="24" t="s">
        <v>158</v>
      </c>
      <c r="D15" s="24" t="s">
        <v>159</v>
      </c>
      <c r="E15" s="24" t="s">
        <v>113</v>
      </c>
      <c r="F15" s="24" t="s">
        <v>160</v>
      </c>
      <c r="G15" s="24" t="s">
        <v>161</v>
      </c>
      <c r="H15" s="160" t="s">
        <v>163</v>
      </c>
      <c r="I15" s="159">
        <f>Calculations!K38*10^6</f>
        <v>75.472462526576891</v>
      </c>
      <c r="J15" s="159">
        <f>Calculations!L38*10^6</f>
        <v>131.26786525513819</v>
      </c>
      <c r="K15" s="159">
        <f>Calculations!M38*10^6</f>
        <v>121.7056771722183</v>
      </c>
      <c r="L15" s="159">
        <f>Calculations!N38*10^6</f>
        <v>70.042603166194183</v>
      </c>
      <c r="M15" s="159">
        <f>Calculations!O38*10^6</f>
        <v>75.802599331148116</v>
      </c>
      <c r="N15" s="159">
        <f>Calculations!P38*10^6</f>
        <v>102.33409378543585</v>
      </c>
    </row>
    <row r="16" spans="1:14" ht="15.75" customHeight="1" x14ac:dyDescent="0.25">
      <c r="A16" s="23" t="s">
        <v>156</v>
      </c>
      <c r="B16" s="23" t="s">
        <v>157</v>
      </c>
      <c r="C16" s="24" t="s">
        <v>158</v>
      </c>
      <c r="D16" s="24" t="s">
        <v>159</v>
      </c>
      <c r="E16" s="24" t="s">
        <v>106</v>
      </c>
      <c r="F16" s="24" t="s">
        <v>160</v>
      </c>
      <c r="G16" s="24" t="s">
        <v>161</v>
      </c>
      <c r="H16" s="160" t="s">
        <v>164</v>
      </c>
      <c r="I16" s="159">
        <f>Calculations!S32*10^6</f>
        <v>8842.6632839999984</v>
      </c>
      <c r="J16" s="159">
        <f>Calculations!T32*10^6</f>
        <v>9484.2305739999993</v>
      </c>
      <c r="K16" s="159">
        <f>Calculations!U32*10^6</f>
        <v>9878.5010869999969</v>
      </c>
      <c r="L16" s="159">
        <f>Calculations!V32*10^6</f>
        <v>10332.929698</v>
      </c>
      <c r="M16" s="159">
        <f>Calculations!W32*10^6</f>
        <v>11221.5807795</v>
      </c>
      <c r="N16" s="159">
        <f>Calculations!X32*10^6</f>
        <v>12238.552189499997</v>
      </c>
    </row>
    <row r="17" spans="1:14" ht="15.75" customHeight="1" x14ac:dyDescent="0.25">
      <c r="A17" s="23" t="s">
        <v>156</v>
      </c>
      <c r="B17" s="23" t="s">
        <v>157</v>
      </c>
      <c r="C17" s="24" t="s">
        <v>158</v>
      </c>
      <c r="D17" s="24" t="s">
        <v>159</v>
      </c>
      <c r="E17" s="24" t="s">
        <v>107</v>
      </c>
      <c r="F17" s="24" t="s">
        <v>160</v>
      </c>
      <c r="G17" s="24" t="s">
        <v>161</v>
      </c>
      <c r="H17" s="160" t="s">
        <v>164</v>
      </c>
      <c r="I17" s="159">
        <f>Calculations!S33*10^6</f>
        <v>29.614657252494244</v>
      </c>
      <c r="J17" s="159">
        <f>Calculations!T33*10^6</f>
        <v>31.299929067536457</v>
      </c>
      <c r="K17" s="159">
        <f>Calculations!U33*10^6</f>
        <v>25.418642095165008</v>
      </c>
      <c r="L17" s="159">
        <f>Calculations!V33*10^6</f>
        <v>21.504500652340756</v>
      </c>
      <c r="M17" s="159">
        <f>Calculations!W33*10^6</f>
        <v>19.701368697237147</v>
      </c>
      <c r="N17" s="159">
        <f>Calculations!X33*10^6</f>
        <v>18.148243716423639</v>
      </c>
    </row>
    <row r="18" spans="1:14" ht="15.75" customHeight="1" x14ac:dyDescent="0.25">
      <c r="A18" s="23" t="s">
        <v>156</v>
      </c>
      <c r="B18" s="23" t="s">
        <v>157</v>
      </c>
      <c r="C18" s="24" t="s">
        <v>158</v>
      </c>
      <c r="D18" s="24" t="s">
        <v>159</v>
      </c>
      <c r="E18" s="24" t="s">
        <v>108</v>
      </c>
      <c r="F18" s="24" t="s">
        <v>160</v>
      </c>
      <c r="G18" s="24" t="s">
        <v>161</v>
      </c>
      <c r="H18" s="160" t="s">
        <v>164</v>
      </c>
      <c r="I18" s="159">
        <f>Calculations!S34*10^6</f>
        <v>17.41387379190575</v>
      </c>
      <c r="J18" s="159">
        <f>Calculations!T34*10^6</f>
        <v>15.213091633663742</v>
      </c>
      <c r="K18" s="159">
        <f>Calculations!U34*10^6</f>
        <v>14.455988644110574</v>
      </c>
      <c r="L18" s="159">
        <f>Calculations!V34*10^6</f>
        <v>12.805222192534822</v>
      </c>
      <c r="M18" s="159">
        <f>Calculations!W34*10^6</f>
        <v>12.317089983202173</v>
      </c>
      <c r="N18" s="159">
        <f>Calculations!X34*10^6</f>
        <v>12.409416311008721</v>
      </c>
    </row>
    <row r="19" spans="1:14" ht="15.75" customHeight="1" x14ac:dyDescent="0.25">
      <c r="A19" s="23" t="s">
        <v>156</v>
      </c>
      <c r="B19" s="23" t="s">
        <v>157</v>
      </c>
      <c r="C19" s="24" t="s">
        <v>158</v>
      </c>
      <c r="D19" s="24" t="s">
        <v>159</v>
      </c>
      <c r="E19" s="24" t="s">
        <v>109</v>
      </c>
      <c r="F19" s="24" t="s">
        <v>160</v>
      </c>
      <c r="G19" s="24" t="s">
        <v>161</v>
      </c>
      <c r="H19" s="160" t="s">
        <v>164</v>
      </c>
      <c r="I19" s="159">
        <f>Calculations!S35*10^6</f>
        <v>19.232737207883275</v>
      </c>
      <c r="J19" s="159">
        <f>Calculations!T35*10^6</f>
        <v>21.020025281917761</v>
      </c>
      <c r="K19" s="159">
        <f>Calculations!U35*10^6</f>
        <v>17.011517797913903</v>
      </c>
      <c r="L19" s="159">
        <f>Calculations!V35*10^6</f>
        <v>11.260851173239761</v>
      </c>
      <c r="M19" s="159">
        <f>Calculations!W35*10^6</f>
        <v>9.1955955802835803</v>
      </c>
      <c r="N19" s="159">
        <f>Calculations!X35*10^6</f>
        <v>8.2946699911662858</v>
      </c>
    </row>
    <row r="20" spans="1:14" ht="15.75" customHeight="1" x14ac:dyDescent="0.25">
      <c r="A20" s="23" t="s">
        <v>156</v>
      </c>
      <c r="B20" s="23" t="s">
        <v>157</v>
      </c>
      <c r="C20" s="24" t="s">
        <v>158</v>
      </c>
      <c r="D20" s="24" t="s">
        <v>159</v>
      </c>
      <c r="E20" s="24" t="s">
        <v>171</v>
      </c>
      <c r="F20" s="24" t="s">
        <v>160</v>
      </c>
      <c r="G20" s="24" t="s">
        <v>161</v>
      </c>
      <c r="H20" s="160" t="s">
        <v>164</v>
      </c>
      <c r="I20" s="159">
        <f>Calculations!S36*10^6</f>
        <v>51.729576960000003</v>
      </c>
      <c r="J20" s="159">
        <f>Calculations!T36*10^6</f>
        <v>48.704431200000002</v>
      </c>
      <c r="K20" s="159">
        <f>Calculations!U36*10^6</f>
        <v>69.606153359999993</v>
      </c>
      <c r="L20" s="159">
        <f>Calculations!V36*10^6</f>
        <v>83.460552959999987</v>
      </c>
      <c r="M20" s="159">
        <f>Calculations!W36*10^6</f>
        <v>75.516178199999985</v>
      </c>
      <c r="N20" s="159">
        <f>Calculations!X36*10^6</f>
        <v>62.062461240000012</v>
      </c>
    </row>
    <row r="21" spans="1:14" ht="15.75" customHeight="1" x14ac:dyDescent="0.25">
      <c r="A21" s="23" t="s">
        <v>156</v>
      </c>
      <c r="B21" s="23" t="s">
        <v>157</v>
      </c>
      <c r="C21" s="24" t="s">
        <v>158</v>
      </c>
      <c r="D21" s="24" t="s">
        <v>159</v>
      </c>
      <c r="E21" s="24" t="s">
        <v>110</v>
      </c>
      <c r="F21" s="24" t="s">
        <v>160</v>
      </c>
      <c r="G21" s="24" t="s">
        <v>161</v>
      </c>
      <c r="H21" s="160" t="s">
        <v>164</v>
      </c>
      <c r="I21" s="159">
        <f>Calculations!S37*10^6</f>
        <v>344.71205999999995</v>
      </c>
      <c r="J21" s="159">
        <f>Calculations!T37*10^6</f>
        <v>343.94558099999995</v>
      </c>
      <c r="K21" s="159">
        <f>Calculations!U37*10^6</f>
        <v>357.75237749999997</v>
      </c>
      <c r="L21" s="159">
        <f>Calculations!V37*10^6</f>
        <v>385.43380050000007</v>
      </c>
      <c r="M21" s="159">
        <f>Calculations!W37*10^6</f>
        <v>407.43106949999998</v>
      </c>
      <c r="N21" s="159">
        <f>Calculations!X37*10^6</f>
        <v>427.00680749999987</v>
      </c>
    </row>
    <row r="22" spans="1:14" ht="15.75" customHeight="1" x14ac:dyDescent="0.25">
      <c r="A22" s="23" t="s">
        <v>156</v>
      </c>
      <c r="B22" s="23" t="s">
        <v>157</v>
      </c>
      <c r="C22" s="24" t="s">
        <v>158</v>
      </c>
      <c r="D22" s="24" t="s">
        <v>159</v>
      </c>
      <c r="E22" s="24" t="s">
        <v>113</v>
      </c>
      <c r="F22" s="24" t="s">
        <v>160</v>
      </c>
      <c r="G22" s="24" t="s">
        <v>161</v>
      </c>
      <c r="H22" s="160" t="s">
        <v>164</v>
      </c>
      <c r="I22" s="159">
        <f>Calculations!S38*10^6</f>
        <v>15.09449250531538</v>
      </c>
      <c r="J22" s="159">
        <f>Calculations!T38*10^6</f>
        <v>26.253573051027637</v>
      </c>
      <c r="K22" s="159">
        <f>Calculations!U38*10^6</f>
        <v>24.341135434443654</v>
      </c>
      <c r="L22" s="159">
        <f>Calculations!V38*10^6</f>
        <v>14.008520633238835</v>
      </c>
      <c r="M22" s="159">
        <f>Calculations!W38*10^6</f>
        <v>15.160519866229624</v>
      </c>
      <c r="N22" s="159">
        <f>Calculations!X38*10^6</f>
        <v>20.466818757087172</v>
      </c>
    </row>
    <row r="23" spans="1:14" ht="15.75" customHeight="1" x14ac:dyDescent="0.25">
      <c r="A23" s="23" t="s">
        <v>156</v>
      </c>
      <c r="B23" s="23" t="s">
        <v>157</v>
      </c>
      <c r="C23" s="24" t="s">
        <v>158</v>
      </c>
      <c r="D23" s="24" t="s">
        <v>159</v>
      </c>
      <c r="E23" s="24" t="s">
        <v>106</v>
      </c>
      <c r="F23" s="24" t="s">
        <v>160</v>
      </c>
      <c r="G23" s="24" t="s">
        <v>161</v>
      </c>
      <c r="H23" s="160" t="s">
        <v>165</v>
      </c>
      <c r="I23" s="159">
        <f>Calculations!AA32</f>
        <v>608.02784359589998</v>
      </c>
      <c r="J23" s="159">
        <f>Calculations!AB32</f>
        <v>652.14246871865009</v>
      </c>
      <c r="K23" s="159">
        <f>Calculations!AC32</f>
        <v>679.25279081432507</v>
      </c>
      <c r="L23" s="159">
        <f>Calculations!AD32</f>
        <v>710.49962669854995</v>
      </c>
      <c r="M23" s="159">
        <f>Calculations!AE32</f>
        <v>771.60390981326248</v>
      </c>
      <c r="N23" s="159">
        <f>Calculations!AF32</f>
        <v>841.53159037301248</v>
      </c>
    </row>
    <row r="24" spans="1:14" ht="15.75" customHeight="1" x14ac:dyDescent="0.25">
      <c r="A24" s="23" t="s">
        <v>156</v>
      </c>
      <c r="B24" s="23" t="s">
        <v>157</v>
      </c>
      <c r="C24" s="24" t="s">
        <v>158</v>
      </c>
      <c r="D24" s="24" t="s">
        <v>159</v>
      </c>
      <c r="E24" s="24" t="s">
        <v>107</v>
      </c>
      <c r="F24" s="24" t="s">
        <v>160</v>
      </c>
      <c r="G24" s="24" t="s">
        <v>161</v>
      </c>
      <c r="H24" s="160" t="s">
        <v>165</v>
      </c>
      <c r="I24" s="159">
        <f>Calculations!AA33</f>
        <v>3.8325808683315428</v>
      </c>
      <c r="J24" s="159">
        <f>Calculations!AB33</f>
        <v>4.0506803202752302</v>
      </c>
      <c r="K24" s="159">
        <f>Calculations!AC33</f>
        <v>3.2895535667457794</v>
      </c>
      <c r="L24" s="159">
        <f>Calculations!AD33</f>
        <v>2.7830049519226785</v>
      </c>
      <c r="M24" s="159">
        <f>Calculations!AE33</f>
        <v>2.5496526299529454</v>
      </c>
      <c r="N24" s="159">
        <f>Calculations!AF33</f>
        <v>2.3486549605609652</v>
      </c>
    </row>
    <row r="25" spans="1:14" ht="15.75" customHeight="1" x14ac:dyDescent="0.25">
      <c r="A25" s="23" t="s">
        <v>156</v>
      </c>
      <c r="B25" s="23" t="s">
        <v>157</v>
      </c>
      <c r="C25" s="24" t="s">
        <v>158</v>
      </c>
      <c r="D25" s="24" t="s">
        <v>159</v>
      </c>
      <c r="E25" s="24" t="s">
        <v>108</v>
      </c>
      <c r="F25" s="24" t="s">
        <v>160</v>
      </c>
      <c r="G25" s="24" t="s">
        <v>161</v>
      </c>
      <c r="H25" s="160" t="s">
        <v>165</v>
      </c>
      <c r="I25" s="159">
        <f>Calculations!AA34</f>
        <v>2.1578401709240009</v>
      </c>
      <c r="J25" s="159">
        <f>Calculations!AB34</f>
        <v>1.8851302497854425</v>
      </c>
      <c r="K25" s="159">
        <f>Calculations!AC34</f>
        <v>1.7913138328349618</v>
      </c>
      <c r="L25" s="159">
        <f>Calculations!AD34</f>
        <v>1.5867591079879524</v>
      </c>
      <c r="M25" s="159">
        <f>Calculations!AE34</f>
        <v>1.5262722052684972</v>
      </c>
      <c r="N25" s="159">
        <f>Calculations!AF34</f>
        <v>1.5377128221786454</v>
      </c>
    </row>
    <row r="26" spans="1:14" ht="15.75" customHeight="1" x14ac:dyDescent="0.25">
      <c r="A26" s="23" t="s">
        <v>156</v>
      </c>
      <c r="B26" s="23" t="s">
        <v>157</v>
      </c>
      <c r="C26" s="24" t="s">
        <v>158</v>
      </c>
      <c r="D26" s="24" t="s">
        <v>159</v>
      </c>
      <c r="E26" s="24" t="s">
        <v>109</v>
      </c>
      <c r="F26" s="24" t="s">
        <v>160</v>
      </c>
      <c r="G26" s="24" t="s">
        <v>161</v>
      </c>
      <c r="H26" s="160" t="s">
        <v>165</v>
      </c>
      <c r="I26" s="159">
        <f>Calculations!AA35</f>
        <v>2.3575809815043449</v>
      </c>
      <c r="J26" s="159">
        <f>Calculations!AB35</f>
        <v>2.5766697324329497</v>
      </c>
      <c r="K26" s="159">
        <f>Calculations!AC35</f>
        <v>2.0853002041979498</v>
      </c>
      <c r="L26" s="159">
        <f>Calculations!AD35</f>
        <v>1.3803739049010186</v>
      </c>
      <c r="M26" s="159">
        <f>Calculations!AE35</f>
        <v>1.1272114322237952</v>
      </c>
      <c r="N26" s="159">
        <f>Calculations!AF35</f>
        <v>1.0167744719671485</v>
      </c>
    </row>
    <row r="27" spans="1:14" ht="15.75" customHeight="1" x14ac:dyDescent="0.25">
      <c r="A27" s="23" t="s">
        <v>156</v>
      </c>
      <c r="B27" s="23" t="s">
        <v>157</v>
      </c>
      <c r="C27" s="24" t="s">
        <v>158</v>
      </c>
      <c r="D27" s="24" t="s">
        <v>159</v>
      </c>
      <c r="E27" s="24" t="s">
        <v>171</v>
      </c>
      <c r="F27" s="24" t="s">
        <v>160</v>
      </c>
      <c r="G27" s="24" t="s">
        <v>161</v>
      </c>
      <c r="H27" s="160" t="s">
        <v>165</v>
      </c>
      <c r="I27" s="159">
        <f>Calculations!AA36</f>
        <v>29.047192054579202</v>
      </c>
      <c r="J27" s="159">
        <f>Calculations!AB36</f>
        <v>27.348512207423997</v>
      </c>
      <c r="K27" s="159">
        <f>Calculations!AC36</f>
        <v>39.085247234707197</v>
      </c>
      <c r="L27" s="159">
        <f>Calculations!AD36</f>
        <v>46.864769698099188</v>
      </c>
      <c r="M27" s="159">
        <f>Calculations!AE36</f>
        <v>42.403844382864001</v>
      </c>
      <c r="N27" s="159">
        <f>Calculations!AF36</f>
        <v>34.849313235484793</v>
      </c>
    </row>
    <row r="28" spans="1:14" ht="15.75" customHeight="1" x14ac:dyDescent="0.25">
      <c r="A28" s="23" t="s">
        <v>156</v>
      </c>
      <c r="B28" s="23" t="s">
        <v>157</v>
      </c>
      <c r="C28" s="24" t="s">
        <v>158</v>
      </c>
      <c r="D28" s="24" t="s">
        <v>159</v>
      </c>
      <c r="E28" s="24" t="s">
        <v>110</v>
      </c>
      <c r="F28" s="24" t="s">
        <v>160</v>
      </c>
      <c r="G28" s="24" t="s">
        <v>161</v>
      </c>
      <c r="H28" s="160" t="s">
        <v>165</v>
      </c>
      <c r="I28" s="159">
        <f>Calculations!AA37</f>
        <v>26.2485922545</v>
      </c>
      <c r="J28" s="159">
        <f>Calculations!AB37</f>
        <v>26.190227616074999</v>
      </c>
      <c r="K28" s="159">
        <f>Calculations!AC37</f>
        <v>27.241565859562495</v>
      </c>
      <c r="L28" s="159">
        <f>Calculations!AD37</f>
        <v>29.349407358787506</v>
      </c>
      <c r="M28" s="159">
        <f>Calculations!AE37</f>
        <v>31.024420831462503</v>
      </c>
      <c r="N28" s="159">
        <f>Calculations!AF37</f>
        <v>32.515043366812499</v>
      </c>
    </row>
    <row r="29" spans="1:14" ht="15.75" customHeight="1" x14ac:dyDescent="0.25">
      <c r="A29" s="23" t="s">
        <v>156</v>
      </c>
      <c r="B29" s="23" t="s">
        <v>157</v>
      </c>
      <c r="C29" s="24" t="s">
        <v>158</v>
      </c>
      <c r="D29" s="24" t="s">
        <v>159</v>
      </c>
      <c r="E29" s="24" t="s">
        <v>113</v>
      </c>
      <c r="F29" s="24" t="s">
        <v>160</v>
      </c>
      <c r="G29" s="24" t="s">
        <v>161</v>
      </c>
      <c r="H29" s="160" t="s">
        <v>165</v>
      </c>
      <c r="I29" s="159">
        <f>Calculations!AA38</f>
        <v>1.8704340387961551</v>
      </c>
      <c r="J29" s="159">
        <f>Calculations!AB38</f>
        <v>3.2532115046180898</v>
      </c>
      <c r="K29" s="159">
        <f>Calculations!AC38</f>
        <v>3.0162317973590853</v>
      </c>
      <c r="L29" s="159">
        <f>Calculations!AD38</f>
        <v>1.7358658342677902</v>
      </c>
      <c r="M29" s="159">
        <f>Calculations!AE38</f>
        <v>1.8786158192238438</v>
      </c>
      <c r="N29" s="159">
        <f>Calculations!AF38</f>
        <v>2.5361458462844571</v>
      </c>
    </row>
    <row r="30" spans="1:14" ht="15.75" customHeight="1" x14ac:dyDescent="0.25">
      <c r="A30" s="23" t="s">
        <v>156</v>
      </c>
      <c r="B30" s="23" t="s">
        <v>157</v>
      </c>
      <c r="C30" s="24" t="s">
        <v>158</v>
      </c>
      <c r="D30" s="24" t="s">
        <v>159</v>
      </c>
      <c r="E30" s="24" t="s">
        <v>106</v>
      </c>
      <c r="F30" s="24" t="s">
        <v>160</v>
      </c>
      <c r="G30" s="24" t="s">
        <v>161</v>
      </c>
      <c r="H30" s="160" t="s">
        <v>166</v>
      </c>
      <c r="I30" s="159">
        <f>(I2+I9*'Factors and Conversions'!$C$22+'Factors and Conversions'!$C$23*'Final Results'!I16)/10^6</f>
        <v>607.57307805558003</v>
      </c>
      <c r="J30" s="159">
        <f>(J2+J9*'Factors and Conversions'!$C$22+'Factors and Conversions'!$C$23*'Final Results'!J16)/10^6</f>
        <v>651.65470828912999</v>
      </c>
      <c r="K30" s="159">
        <f>(K2+K9*'Factors and Conversions'!$C$22+'Factors and Conversions'!$C$23*'Final Results'!K16)/10^6</f>
        <v>678.74475361556506</v>
      </c>
      <c r="L30" s="159">
        <f>(L2+L9*'Factors and Conversions'!$C$22+'Factors and Conversions'!$C$23*'Final Results'!L16)/10^6</f>
        <v>709.96821888550994</v>
      </c>
      <c r="M30" s="159">
        <f>(M2+M9*'Factors and Conversions'!$C$22+'Factors and Conversions'!$C$23*'Final Results'!M16)/10^6</f>
        <v>771.02679994460254</v>
      </c>
      <c r="N30" s="159">
        <f>(N2+N9*'Factors and Conversions'!$C$22+'Factors and Conversions'!$C$23*'Final Results'!N16)/10^6</f>
        <v>840.90217911755224</v>
      </c>
    </row>
    <row r="31" spans="1:14" ht="15.75" customHeight="1" x14ac:dyDescent="0.25">
      <c r="A31" s="23" t="s">
        <v>156</v>
      </c>
      <c r="B31" s="23" t="s">
        <v>157</v>
      </c>
      <c r="C31" s="24" t="s">
        <v>158</v>
      </c>
      <c r="D31" s="24" t="s">
        <v>159</v>
      </c>
      <c r="E31" s="24" t="s">
        <v>107</v>
      </c>
      <c r="F31" s="24" t="s">
        <v>160</v>
      </c>
      <c r="G31" s="24" t="s">
        <v>161</v>
      </c>
      <c r="H31" s="160" t="s">
        <v>166</v>
      </c>
      <c r="I31" s="159">
        <f>(I3+I10*'Factors and Conversions'!$C$22+'Factors and Conversions'!$C$23*'Final Results'!I17)/10^6</f>
        <v>3.8290271094612431</v>
      </c>
      <c r="J31" s="159">
        <f>(J3+J10*'Factors and Conversions'!$C$22+'Factors and Conversions'!$C$23*'Final Results'!J17)/10^6</f>
        <v>4.0469243287871253</v>
      </c>
      <c r="K31" s="159">
        <f>(K3+K10*'Factors and Conversions'!$C$22+'Factors and Conversions'!$C$23*'Final Results'!K17)/10^6</f>
        <v>3.2865033296943591</v>
      </c>
      <c r="L31" s="159">
        <f>(L3+L10*'Factors and Conversions'!$C$22+'Factors and Conversions'!$C$23*'Final Results'!L17)/10^6</f>
        <v>2.7804244118443977</v>
      </c>
      <c r="M31" s="159">
        <f>(M3+M10*'Factors and Conversions'!$C$22+'Factors and Conversions'!$C$23*'Final Results'!M17)/10^6</f>
        <v>2.5472884657092769</v>
      </c>
      <c r="N31" s="159">
        <f>(N3+N10*'Factors and Conversions'!$C$22+'Factors and Conversions'!$C$23*'Final Results'!N17)/10^6</f>
        <v>2.3464771713149939</v>
      </c>
    </row>
    <row r="32" spans="1:14" ht="15.75" customHeight="1" x14ac:dyDescent="0.25">
      <c r="A32" s="23" t="s">
        <v>156</v>
      </c>
      <c r="B32" s="23" t="s">
        <v>157</v>
      </c>
      <c r="C32" s="24" t="s">
        <v>158</v>
      </c>
      <c r="D32" s="24" t="s">
        <v>159</v>
      </c>
      <c r="E32" s="24" t="s">
        <v>108</v>
      </c>
      <c r="F32" s="24" t="s">
        <v>160</v>
      </c>
      <c r="G32" s="24" t="s">
        <v>161</v>
      </c>
      <c r="H32" s="160" t="s">
        <v>166</v>
      </c>
      <c r="I32" s="159">
        <f>(I4+I11*'Factors and Conversions'!$C$22+'Factors and Conversions'!$C$23*'Final Results'!I18)/10^6</f>
        <v>2.1557505060689719</v>
      </c>
      <c r="J32" s="159">
        <f>(J4+J11*'Factors and Conversions'!$C$22+'Factors and Conversions'!$C$23*'Final Results'!J18)/10^6</f>
        <v>1.8833046787894028</v>
      </c>
      <c r="K32" s="159">
        <f>(K4+K11*'Factors and Conversions'!$C$22+'Factors and Conversions'!$C$23*'Final Results'!K18)/10^6</f>
        <v>1.7895791141976687</v>
      </c>
      <c r="L32" s="159">
        <f>(L4+L11*'Factors and Conversions'!$C$22+'Factors and Conversions'!$C$23*'Final Results'!L18)/10^6</f>
        <v>1.5852224813248483</v>
      </c>
      <c r="M32" s="159">
        <f>(M4+M11*'Factors and Conversions'!$C$22+'Factors and Conversions'!$C$23*'Final Results'!M18)/10^6</f>
        <v>1.5247941544705128</v>
      </c>
      <c r="N32" s="159">
        <f>(N4+N11*'Factors and Conversions'!$C$22+'Factors and Conversions'!$C$23*'Final Results'!N18)/10^6</f>
        <v>1.5362236922213244</v>
      </c>
    </row>
    <row r="33" spans="1:14" ht="15.75" customHeight="1" x14ac:dyDescent="0.25">
      <c r="A33" s="23" t="s">
        <v>156</v>
      </c>
      <c r="B33" s="23" t="s">
        <v>157</v>
      </c>
      <c r="C33" s="24" t="s">
        <v>158</v>
      </c>
      <c r="D33" s="24" t="s">
        <v>159</v>
      </c>
      <c r="E33" s="24" t="s">
        <v>109</v>
      </c>
      <c r="F33" s="24" t="s">
        <v>160</v>
      </c>
      <c r="G33" s="24" t="s">
        <v>161</v>
      </c>
      <c r="H33" s="160" t="s">
        <v>166</v>
      </c>
      <c r="I33" s="159">
        <f>(I5+I12*'Factors and Conversions'!$C$22+'Factors and Conversions'!$C$23*'Final Results'!I19)/10^6</f>
        <v>2.355273053039399</v>
      </c>
      <c r="J33" s="159">
        <f>(J5+J12*'Factors and Conversions'!$C$22+'Factors and Conversions'!$C$23*'Final Results'!J19)/10^6</f>
        <v>2.5741473293991195</v>
      </c>
      <c r="K33" s="159">
        <f>(K5+K12*'Factors and Conversions'!$C$22+'Factors and Conversions'!$C$23*'Final Results'!K19)/10^6</f>
        <v>2.0832588220622004</v>
      </c>
      <c r="L33" s="159">
        <f>(L5+L12*'Factors and Conversions'!$C$22+'Factors and Conversions'!$C$23*'Final Results'!L19)/10^6</f>
        <v>1.3790226027602297</v>
      </c>
      <c r="M33" s="159">
        <f>(M5+M12*'Factors and Conversions'!$C$22+'Factors and Conversions'!$C$23*'Final Results'!M19)/10^6</f>
        <v>1.1261079607541611</v>
      </c>
      <c r="N33" s="159">
        <f>(N5+N12*'Factors and Conversions'!$C$22+'Factors and Conversions'!$C$23*'Final Results'!N19)/10^6</f>
        <v>1.0157791115682087</v>
      </c>
    </row>
    <row r="34" spans="1:14" ht="15.75" customHeight="1" x14ac:dyDescent="0.25">
      <c r="A34" s="23" t="s">
        <v>156</v>
      </c>
      <c r="B34" s="23" t="s">
        <v>157</v>
      </c>
      <c r="C34" s="24" t="s">
        <v>158</v>
      </c>
      <c r="D34" s="24" t="s">
        <v>159</v>
      </c>
      <c r="E34" s="24" t="s">
        <v>171</v>
      </c>
      <c r="F34" s="24" t="s">
        <v>160</v>
      </c>
      <c r="G34" s="24" t="s">
        <v>161</v>
      </c>
      <c r="H34" s="160" t="s">
        <v>166</v>
      </c>
      <c r="I34" s="159">
        <f>(I6+I13*'Factors and Conversions'!$C$22+'Factors and Conversions'!$C$23*'Final Results'!I20)/10^6</f>
        <v>29.036846139187197</v>
      </c>
      <c r="J34" s="159">
        <f>(J6+J13*'Factors and Conversions'!$C$22+'Factors and Conversions'!$C$23*'Final Results'!J20)/10^6</f>
        <v>27.338771321184002</v>
      </c>
      <c r="K34" s="159">
        <f>(K6+K13*'Factors and Conversions'!$C$22+'Factors and Conversions'!$C$23*'Final Results'!K20)/10^6</f>
        <v>39.071326004035207</v>
      </c>
      <c r="L34" s="159">
        <f>(L6+L13*'Factors and Conversions'!$C$22+'Factors and Conversions'!$C$23*'Final Results'!L20)/10^6</f>
        <v>46.848077587507198</v>
      </c>
      <c r="M34" s="159">
        <f>(M6+M13*'Factors and Conversions'!$C$22+'Factors and Conversions'!$C$23*'Final Results'!M20)/10^6</f>
        <v>42.388741147223996</v>
      </c>
      <c r="N34" s="159">
        <f>(N6+N13*'Factors and Conversions'!$C$22+'Factors and Conversions'!$C$23*'Final Results'!N20)/10^6</f>
        <v>34.836900743236797</v>
      </c>
    </row>
    <row r="35" spans="1:14" ht="15.75" customHeight="1" x14ac:dyDescent="0.25">
      <c r="A35" s="23" t="s">
        <v>156</v>
      </c>
      <c r="B35" s="23" t="s">
        <v>157</v>
      </c>
      <c r="C35" s="24" t="s">
        <v>158</v>
      </c>
      <c r="D35" s="24" t="s">
        <v>159</v>
      </c>
      <c r="E35" s="24" t="s">
        <v>110</v>
      </c>
      <c r="F35" s="24" t="s">
        <v>160</v>
      </c>
      <c r="G35" s="24" t="s">
        <v>161</v>
      </c>
      <c r="H35" s="160" t="s">
        <v>166</v>
      </c>
      <c r="I35" s="159">
        <f>(I7+I14*'Factors and Conversions'!$C$22+'Factors and Conversions'!$C$23*'Final Results'!I21)/10^6</f>
        <v>26.230864205700001</v>
      </c>
      <c r="J35" s="159">
        <f>(J7+J14*'Factors and Conversions'!$C$22+'Factors and Conversions'!$C$23*'Final Results'!J21)/10^6</f>
        <v>26.172538986194997</v>
      </c>
      <c r="K35" s="159">
        <f>(K7+K14*'Factors and Conversions'!$C$22+'Factors and Conversions'!$C$23*'Final Results'!K21)/10^6</f>
        <v>27.223167165862492</v>
      </c>
      <c r="L35" s="159">
        <f>(L7+L14*'Factors and Conversions'!$C$22+'Factors and Conversions'!$C$23*'Final Results'!L21)/10^6</f>
        <v>29.329585049047502</v>
      </c>
      <c r="M35" s="159">
        <f>(M7+M14*'Factors and Conversions'!$C$22+'Factors and Conversions'!$C$23*'Final Results'!M21)/10^6</f>
        <v>31.003467233602503</v>
      </c>
      <c r="N35" s="159">
        <f>(N7+N14*'Factors and Conversions'!$C$22+'Factors and Conversions'!$C$23*'Final Results'!N21)/10^6</f>
        <v>32.493083016712497</v>
      </c>
    </row>
    <row r="36" spans="1:14" ht="15.75" customHeight="1" x14ac:dyDescent="0.25">
      <c r="A36" s="23" t="s">
        <v>156</v>
      </c>
      <c r="B36" s="23" t="s">
        <v>157</v>
      </c>
      <c r="C36" s="24" t="s">
        <v>158</v>
      </c>
      <c r="D36" s="24" t="s">
        <v>159</v>
      </c>
      <c r="E36" s="24" t="s">
        <v>113</v>
      </c>
      <c r="F36" s="24" t="s">
        <v>160</v>
      </c>
      <c r="G36" s="24" t="s">
        <v>161</v>
      </c>
      <c r="H36" s="160" t="s">
        <v>166</v>
      </c>
      <c r="I36" s="159">
        <f>(I8+I15*'Factors and Conversions'!$C$22+'Factors and Conversions'!$C$23*'Final Results'!I22)/10^6</f>
        <v>1.8686226996955173</v>
      </c>
      <c r="J36" s="159">
        <f>(J8+J15*'Factors and Conversions'!$C$22+'Factors and Conversions'!$C$23*'Final Results'!J22)/10^6</f>
        <v>3.2500610758519661</v>
      </c>
      <c r="K36" s="159">
        <f>(K8+K15*'Factors and Conversions'!$C$22+'Factors and Conversions'!$C$23*'Final Results'!K22)/10^6</f>
        <v>3.0133108611069521</v>
      </c>
      <c r="L36" s="159">
        <f>(L8+L15*'Factors and Conversions'!$C$22+'Factors and Conversions'!$C$23*'Final Results'!L22)/10^6</f>
        <v>1.7341848117918015</v>
      </c>
      <c r="M36" s="159">
        <f>(M8+M15*'Factors and Conversions'!$C$22+'Factors and Conversions'!$C$23*'Final Results'!M22)/10^6</f>
        <v>1.8767965568398961</v>
      </c>
      <c r="N36" s="159">
        <f>(N8+N15*'Factors and Conversions'!$C$22+'Factors and Conversions'!$C$23*'Final Results'!N22)/10^6</f>
        <v>2.5336898280336069</v>
      </c>
    </row>
    <row r="37" spans="1:14" x14ac:dyDescent="0.25">
      <c r="A37" s="23" t="s">
        <v>156</v>
      </c>
      <c r="B37" s="23" t="s">
        <v>157</v>
      </c>
      <c r="C37" s="24" t="s">
        <v>172</v>
      </c>
      <c r="D37" s="24" t="s">
        <v>159</v>
      </c>
      <c r="E37" s="24" t="s">
        <v>140</v>
      </c>
      <c r="F37" s="24" t="s">
        <v>173</v>
      </c>
      <c r="G37" s="24" t="s">
        <v>161</v>
      </c>
      <c r="H37" s="25" t="s">
        <v>162</v>
      </c>
      <c r="I37" s="159">
        <f>Calculations!B51*10^6</f>
        <v>60191139.991959378</v>
      </c>
      <c r="J37" s="159">
        <f>Calculations!C51*10^6</f>
        <v>75826414.206359714</v>
      </c>
      <c r="K37" s="159">
        <f>Calculations!D51*10^6</f>
        <v>84971560.310055926</v>
      </c>
      <c r="L37" s="159">
        <f>Calculations!E51*10^6</f>
        <v>101761517.9840764</v>
      </c>
      <c r="M37" s="159">
        <f>Calculations!F51*10^6</f>
        <v>112262743.05506159</v>
      </c>
      <c r="N37" s="159">
        <f>Calculations!G51*10^6</f>
        <v>119343201.83207615</v>
      </c>
    </row>
    <row r="38" spans="1:14" x14ac:dyDescent="0.25">
      <c r="A38" s="23" t="s">
        <v>156</v>
      </c>
      <c r="B38" s="23" t="s">
        <v>157</v>
      </c>
      <c r="C38" s="24" t="s">
        <v>172</v>
      </c>
      <c r="D38" s="24" t="s">
        <v>159</v>
      </c>
      <c r="E38" s="24" t="s">
        <v>51</v>
      </c>
      <c r="F38" s="24" t="s">
        <v>173</v>
      </c>
      <c r="G38" s="24" t="s">
        <v>161</v>
      </c>
      <c r="H38" s="25" t="s">
        <v>162</v>
      </c>
      <c r="I38" s="159">
        <f>Calculations!B52*10^6</f>
        <v>11031781.254382398</v>
      </c>
      <c r="J38" s="159">
        <f>Calculations!C52*10^6</f>
        <v>10716857.507630823</v>
      </c>
      <c r="K38" s="159">
        <f>Calculations!D52*10^6</f>
        <v>9082415.9179313574</v>
      </c>
      <c r="L38" s="159">
        <f>Calculations!E52*10^6</f>
        <v>8231018.8521157745</v>
      </c>
      <c r="M38" s="159">
        <f>Calculations!F52*10^6</f>
        <v>8286936.4088463942</v>
      </c>
      <c r="N38" s="159">
        <f>Calculations!G52*10^6</f>
        <v>8523157.9824128021</v>
      </c>
    </row>
    <row r="39" spans="1:14" x14ac:dyDescent="0.25">
      <c r="A39" s="23" t="s">
        <v>156</v>
      </c>
      <c r="B39" s="23" t="s">
        <v>157</v>
      </c>
      <c r="C39" s="24" t="s">
        <v>172</v>
      </c>
      <c r="D39" s="24" t="s">
        <v>159</v>
      </c>
      <c r="E39" s="24" t="s">
        <v>63</v>
      </c>
      <c r="F39" s="24" t="s">
        <v>173</v>
      </c>
      <c r="G39" s="24" t="s">
        <v>161</v>
      </c>
      <c r="H39" s="25" t="s">
        <v>162</v>
      </c>
      <c r="I39" s="159">
        <f>Calculations!B53*10^6</f>
        <v>13296125.729898436</v>
      </c>
      <c r="J39" s="159">
        <f>Calculations!C53*10^6</f>
        <v>10292896.698312622</v>
      </c>
      <c r="K39" s="159">
        <f>Calculations!D53*10^6</f>
        <v>10047320.959590549</v>
      </c>
      <c r="L39" s="159">
        <f>Calculations!E53*10^6</f>
        <v>8722720.1253643669</v>
      </c>
      <c r="M39" s="159">
        <f>Calculations!F53*10^6</f>
        <v>9146785.027177792</v>
      </c>
      <c r="N39" s="159">
        <f>Calculations!G53*10^6</f>
        <v>10486275.246300425</v>
      </c>
    </row>
    <row r="40" spans="1:14" x14ac:dyDescent="0.25">
      <c r="A40" s="23" t="s">
        <v>156</v>
      </c>
      <c r="B40" s="23" t="s">
        <v>157</v>
      </c>
      <c r="C40" s="24" t="s">
        <v>172</v>
      </c>
      <c r="D40" s="24" t="s">
        <v>159</v>
      </c>
      <c r="E40" s="24" t="s">
        <v>140</v>
      </c>
      <c r="F40" s="24" t="s">
        <v>173</v>
      </c>
      <c r="G40" s="24" t="s">
        <v>161</v>
      </c>
      <c r="H40" s="160" t="s">
        <v>163</v>
      </c>
      <c r="I40" s="159">
        <f>Calculations!J51*10^6</f>
        <v>628.23442221020116</v>
      </c>
      <c r="J40" s="159">
        <f>Calculations!K51*10^6</f>
        <v>791.42484298465411</v>
      </c>
      <c r="K40" s="159">
        <f>Calculations!L51*10^6</f>
        <v>886.87569470886035</v>
      </c>
      <c r="L40" s="159">
        <f>Calculations!M51*10^6</f>
        <v>1062.117920718885</v>
      </c>
      <c r="M40" s="159">
        <f>Calculations!N51*10^6</f>
        <v>1171.7226078181984</v>
      </c>
      <c r="N40" s="159">
        <f>Calculations!O51*10^6</f>
        <v>1245.6236492232142</v>
      </c>
    </row>
    <row r="41" spans="1:14" x14ac:dyDescent="0.25">
      <c r="A41" s="23" t="s">
        <v>156</v>
      </c>
      <c r="B41" s="23" t="s">
        <v>157</v>
      </c>
      <c r="C41" s="24" t="s">
        <v>172</v>
      </c>
      <c r="D41" s="24" t="s">
        <v>159</v>
      </c>
      <c r="E41" s="24" t="s">
        <v>51</v>
      </c>
      <c r="F41" s="24" t="s">
        <v>173</v>
      </c>
      <c r="G41" s="24" t="s">
        <v>161</v>
      </c>
      <c r="H41" s="160" t="s">
        <v>163</v>
      </c>
      <c r="I41" s="159">
        <f>Calculations!J52*10^6</f>
        <v>446.63082001548167</v>
      </c>
      <c r="J41" s="159">
        <f>Calculations!K52*10^6</f>
        <v>433.88087075428444</v>
      </c>
      <c r="K41" s="159">
        <f>Calculations!L52*10^6</f>
        <v>367.70914647495374</v>
      </c>
      <c r="L41" s="159">
        <f>Calculations!M52*10^6</f>
        <v>333.23962964031483</v>
      </c>
      <c r="M41" s="159">
        <f>Calculations!N52*10^6</f>
        <v>335.50349833386213</v>
      </c>
      <c r="N41" s="159">
        <f>Calculations!O52*10^6</f>
        <v>345.06712479404058</v>
      </c>
    </row>
    <row r="42" spans="1:14" x14ac:dyDescent="0.25">
      <c r="A42" s="23" t="s">
        <v>156</v>
      </c>
      <c r="B42" s="23" t="s">
        <v>157</v>
      </c>
      <c r="C42" s="24" t="s">
        <v>172</v>
      </c>
      <c r="D42" s="24" t="s">
        <v>159</v>
      </c>
      <c r="E42" s="24" t="s">
        <v>63</v>
      </c>
      <c r="F42" s="24" t="s">
        <v>173</v>
      </c>
      <c r="G42" s="24" t="s">
        <v>161</v>
      </c>
      <c r="H42" s="160" t="s">
        <v>163</v>
      </c>
      <c r="I42" s="159">
        <f>Calculations!J53*10^6</f>
        <v>237.00758876824304</v>
      </c>
      <c r="J42" s="159">
        <f>Calculations!K53*10^6</f>
        <v>183.47409444407521</v>
      </c>
      <c r="K42" s="159">
        <f>Calculations!L53*10^6</f>
        <v>179.0966302957317</v>
      </c>
      <c r="L42" s="159">
        <f>Calculations!M53*10^6</f>
        <v>155.48520722574628</v>
      </c>
      <c r="M42" s="159">
        <f>Calculations!N53*10^6</f>
        <v>163.04429638463088</v>
      </c>
      <c r="N42" s="159">
        <f>Calculations!O53*10^6</f>
        <v>186.92112738503425</v>
      </c>
    </row>
    <row r="43" spans="1:14" x14ac:dyDescent="0.25">
      <c r="A43" s="23" t="s">
        <v>156</v>
      </c>
      <c r="B43" s="23" t="s">
        <v>157</v>
      </c>
      <c r="C43" s="24" t="s">
        <v>172</v>
      </c>
      <c r="D43" s="24" t="s">
        <v>159</v>
      </c>
      <c r="E43" s="24" t="s">
        <v>140</v>
      </c>
      <c r="F43" s="24" t="s">
        <v>173</v>
      </c>
      <c r="G43" s="24" t="s">
        <v>161</v>
      </c>
      <c r="H43" s="160" t="s">
        <v>164</v>
      </c>
      <c r="I43" s="159">
        <f>Calculations!R51*10^6</f>
        <v>879.52819109428162</v>
      </c>
      <c r="J43" s="159">
        <f>Calculations!S51*10^6</f>
        <v>1107.9947801785156</v>
      </c>
      <c r="K43" s="159">
        <f>Calculations!T51*10^6</f>
        <v>1241.6259725924042</v>
      </c>
      <c r="L43" s="159">
        <f>Calculations!U51*10^6</f>
        <v>1486.9650890064393</v>
      </c>
      <c r="M43" s="159">
        <f>Calculations!V51*10^6</f>
        <v>1640.4116509454777</v>
      </c>
      <c r="N43" s="159">
        <f>Calculations!W51*10^6</f>
        <v>1743.8731089124997</v>
      </c>
    </row>
    <row r="44" spans="1:14" x14ac:dyDescent="0.25">
      <c r="A44" s="23" t="s">
        <v>156</v>
      </c>
      <c r="B44" s="23" t="s">
        <v>157</v>
      </c>
      <c r="C44" s="24" t="s">
        <v>172</v>
      </c>
      <c r="D44" s="24" t="s">
        <v>159</v>
      </c>
      <c r="E44" s="24" t="s">
        <v>51</v>
      </c>
      <c r="F44" s="24" t="s">
        <v>173</v>
      </c>
      <c r="G44" s="24" t="s">
        <v>161</v>
      </c>
      <c r="H44" s="160" t="s">
        <v>164</v>
      </c>
      <c r="I44" s="159">
        <f>Calculations!R52*10^6</f>
        <v>89.326164003096352</v>
      </c>
      <c r="J44" s="159">
        <f>Calculations!S52*10^6</f>
        <v>86.776174150856875</v>
      </c>
      <c r="K44" s="159">
        <f>Calculations!T52*10^6</f>
        <v>73.541829294990748</v>
      </c>
      <c r="L44" s="159">
        <f>Calculations!U52*10^6</f>
        <v>66.647925928062961</v>
      </c>
      <c r="M44" s="159">
        <f>Calculations!V52*10^6</f>
        <v>67.100699666772428</v>
      </c>
      <c r="N44" s="159">
        <f>Calculations!W52*10^6</f>
        <v>69.013424958808088</v>
      </c>
    </row>
    <row r="45" spans="1:14" x14ac:dyDescent="0.25">
      <c r="A45" s="23" t="s">
        <v>156</v>
      </c>
      <c r="B45" s="23" t="s">
        <v>157</v>
      </c>
      <c r="C45" s="24" t="s">
        <v>172</v>
      </c>
      <c r="D45" s="24" t="s">
        <v>159</v>
      </c>
      <c r="E45" s="24" t="s">
        <v>63</v>
      </c>
      <c r="F45" s="24" t="s">
        <v>173</v>
      </c>
      <c r="G45" s="24" t="s">
        <v>161</v>
      </c>
      <c r="H45" s="160" t="s">
        <v>164</v>
      </c>
      <c r="I45" s="159">
        <f>Calculations!R53*10^6</f>
        <v>23.70075887682431</v>
      </c>
      <c r="J45" s="159">
        <f>Calculations!S53*10^6</f>
        <v>18.347409444407521</v>
      </c>
      <c r="K45" s="159">
        <f>Calculations!T53*10^6</f>
        <v>17.909663029573171</v>
      </c>
      <c r="L45" s="159">
        <f>Calculations!U53*10^6</f>
        <v>15.548520722574629</v>
      </c>
      <c r="M45" s="159">
        <f>Calculations!V53*10^6</f>
        <v>16.304429638463091</v>
      </c>
      <c r="N45" s="159">
        <f>Calculations!W53*10^6</f>
        <v>18.692112738503432</v>
      </c>
    </row>
    <row r="46" spans="1:14" x14ac:dyDescent="0.25">
      <c r="A46" s="23" t="s">
        <v>156</v>
      </c>
      <c r="B46" s="23" t="s">
        <v>157</v>
      </c>
      <c r="C46" s="24" t="s">
        <v>172</v>
      </c>
      <c r="D46" s="24" t="s">
        <v>159</v>
      </c>
      <c r="E46" s="24" t="s">
        <v>140</v>
      </c>
      <c r="F46" s="24" t="s">
        <v>173</v>
      </c>
      <c r="G46" s="24" t="s">
        <v>161</v>
      </c>
      <c r="H46" s="160" t="s">
        <v>165</v>
      </c>
      <c r="I46" s="159">
        <f>Calculations!AA51</f>
        <v>60.476986654065016</v>
      </c>
      <c r="J46" s="159">
        <f>Calculations!AB51</f>
        <v>76.186512509917733</v>
      </c>
      <c r="K46" s="159">
        <f>Calculations!AC51</f>
        <v>85.375088751148454</v>
      </c>
      <c r="L46" s="159">
        <f>Calculations!AD51</f>
        <v>102.24478163800347</v>
      </c>
      <c r="M46" s="159">
        <f>Calculations!AE51</f>
        <v>112.79587684161885</v>
      </c>
      <c r="N46" s="159">
        <f>Calculations!AF51</f>
        <v>119.90996059247271</v>
      </c>
    </row>
    <row r="47" spans="1:14" x14ac:dyDescent="0.25">
      <c r="A47" s="23" t="s">
        <v>156</v>
      </c>
      <c r="B47" s="23" t="s">
        <v>157</v>
      </c>
      <c r="C47" s="24" t="s">
        <v>172</v>
      </c>
      <c r="D47" s="24" t="s">
        <v>159</v>
      </c>
      <c r="E47" s="24" t="s">
        <v>51</v>
      </c>
      <c r="F47" s="24" t="s">
        <v>173</v>
      </c>
      <c r="G47" s="24" t="s">
        <v>161</v>
      </c>
      <c r="H47" s="160" t="s">
        <v>165</v>
      </c>
      <c r="I47" s="159">
        <f>Calculations!AA52</f>
        <v>11.068851612443684</v>
      </c>
      <c r="J47" s="159">
        <f>Calculations!AB52</f>
        <v>10.752869619903429</v>
      </c>
      <c r="K47" s="159">
        <f>Calculations!AC52</f>
        <v>9.1129357770887776</v>
      </c>
      <c r="L47" s="159">
        <f>Calculations!AD52</f>
        <v>8.2586777413759194</v>
      </c>
      <c r="M47" s="159">
        <f>Calculations!AE52</f>
        <v>8.3147831992081045</v>
      </c>
      <c r="N47" s="159">
        <f>Calculations!AF52</f>
        <v>8.5517985537707055</v>
      </c>
    </row>
    <row r="48" spans="1:14" x14ac:dyDescent="0.25">
      <c r="A48" s="23" t="s">
        <v>156</v>
      </c>
      <c r="B48" s="23" t="s">
        <v>157</v>
      </c>
      <c r="C48" s="24" t="s">
        <v>172</v>
      </c>
      <c r="D48" s="24" t="s">
        <v>159</v>
      </c>
      <c r="E48" s="24" t="s">
        <v>63</v>
      </c>
      <c r="F48" s="24" t="s">
        <v>173</v>
      </c>
      <c r="G48" s="24" t="s">
        <v>161</v>
      </c>
      <c r="H48" s="160" t="s">
        <v>165</v>
      </c>
      <c r="I48" s="159">
        <f>Calculations!AA53</f>
        <v>13.308450124514385</v>
      </c>
      <c r="J48" s="159">
        <f>Calculations!AB53</f>
        <v>10.302437351223711</v>
      </c>
      <c r="K48" s="159">
        <f>Calculations!AC53</f>
        <v>10.056633984365927</v>
      </c>
      <c r="L48" s="159">
        <f>Calculations!AD53</f>
        <v>8.730805356140106</v>
      </c>
      <c r="M48" s="159">
        <f>Calculations!AE53</f>
        <v>9.1552633305897935</v>
      </c>
      <c r="N48" s="159">
        <f>Calculations!AF53</f>
        <v>10.495995144924446</v>
      </c>
    </row>
    <row r="49" spans="1:14" x14ac:dyDescent="0.25">
      <c r="A49" s="23" t="s">
        <v>156</v>
      </c>
      <c r="B49" s="23" t="s">
        <v>157</v>
      </c>
      <c r="C49" s="24" t="s">
        <v>172</v>
      </c>
      <c r="D49" s="24" t="s">
        <v>159</v>
      </c>
      <c r="E49" s="24" t="s">
        <v>140</v>
      </c>
      <c r="F49" s="24" t="s">
        <v>173</v>
      </c>
      <c r="G49" s="24" t="s">
        <v>161</v>
      </c>
      <c r="H49" s="160" t="s">
        <v>166</v>
      </c>
      <c r="I49" s="159">
        <f>(I37+I40*'Factors and Conversions'!$C$22+'Factors and Conversions'!$C$23*'Final Results'!I43)/10^6</f>
        <v>60.431753775665889</v>
      </c>
      <c r="J49" s="159">
        <f>(J37+J40*'Factors and Conversions'!$C$22+'Factors and Conversions'!$C$23*'Final Results'!J43)/10^6</f>
        <v>76.12952992122284</v>
      </c>
      <c r="K49" s="159">
        <f>(K37+K40*'Factors and Conversions'!$C$22+'Factors and Conversions'!$C$23*'Final Results'!K43)/10^6</f>
        <v>85.311233701129424</v>
      </c>
      <c r="L49" s="159">
        <f>(L37+L40*'Factors and Conversions'!$C$22+'Factors and Conversions'!$C$23*'Final Results'!L43)/10^6</f>
        <v>102.16830914771172</v>
      </c>
      <c r="M49" s="159">
        <f>(M37+M40*'Factors and Conversions'!$C$22+'Factors and Conversions'!$C$23*'Final Results'!M43)/10^6</f>
        <v>112.71151281385596</v>
      </c>
      <c r="N49" s="159">
        <f>(N37+N40*'Factors and Conversions'!$C$22+'Factors and Conversions'!$C$23*'Final Results'!N43)/10^6</f>
        <v>119.82027568972865</v>
      </c>
    </row>
    <row r="50" spans="1:14" x14ac:dyDescent="0.25">
      <c r="A50" s="23" t="s">
        <v>156</v>
      </c>
      <c r="B50" s="23" t="s">
        <v>157</v>
      </c>
      <c r="C50" s="24" t="s">
        <v>172</v>
      </c>
      <c r="D50" s="24" t="s">
        <v>159</v>
      </c>
      <c r="E50" s="24" t="s">
        <v>51</v>
      </c>
      <c r="F50" s="24" t="s">
        <v>173</v>
      </c>
      <c r="G50" s="24" t="s">
        <v>161</v>
      </c>
      <c r="H50" s="160" t="s">
        <v>166</v>
      </c>
      <c r="I50" s="159">
        <f>(I38+I41*'Factors and Conversions'!$C$22+'Factors and Conversions'!$C$23*'Final Results'!I44)/10^6</f>
        <v>11.058132472763312</v>
      </c>
      <c r="J50" s="159">
        <f>(J38+J41*'Factors and Conversions'!$C$22+'Factors and Conversions'!$C$23*'Final Results'!J44)/10^6</f>
        <v>10.742456479005325</v>
      </c>
      <c r="K50" s="159">
        <f>(K38+K41*'Factors and Conversions'!$C$22+'Factors and Conversions'!$C$23*'Final Results'!K44)/10^6</f>
        <v>9.1041107575733804</v>
      </c>
      <c r="L50" s="159">
        <f>(L38+L41*'Factors and Conversions'!$C$22+'Factors and Conversions'!$C$23*'Final Results'!L44)/10^6</f>
        <v>8.2506799902645529</v>
      </c>
      <c r="M50" s="159">
        <f>(M38+M41*'Factors and Conversions'!$C$22+'Factors and Conversions'!$C$23*'Final Results'!M44)/10^6</f>
        <v>8.3067311152480929</v>
      </c>
      <c r="N50" s="159">
        <f>(N38+N41*'Factors and Conversions'!$C$22+'Factors and Conversions'!$C$23*'Final Results'!N44)/10^6</f>
        <v>8.5435169427756499</v>
      </c>
    </row>
    <row r="51" spans="1:14" x14ac:dyDescent="0.25">
      <c r="A51" s="23" t="s">
        <v>156</v>
      </c>
      <c r="B51" s="23" t="s">
        <v>157</v>
      </c>
      <c r="C51" s="24" t="s">
        <v>172</v>
      </c>
      <c r="D51" s="24" t="s">
        <v>159</v>
      </c>
      <c r="E51" s="24" t="s">
        <v>63</v>
      </c>
      <c r="F51" s="24" t="s">
        <v>173</v>
      </c>
      <c r="G51" s="24" t="s">
        <v>161</v>
      </c>
      <c r="H51" s="160" t="s">
        <v>166</v>
      </c>
      <c r="I51" s="159">
        <f>(I39+I42*'Factors and Conversions'!$C$22+'Factors and Conversions'!$C$23*'Final Results'!I45)/10^6</f>
        <v>13.30370997273902</v>
      </c>
      <c r="J51" s="159">
        <f>(J39+J42*'Factors and Conversions'!$C$22+'Factors and Conversions'!$C$23*'Final Results'!J45)/10^6</f>
        <v>10.298767869334831</v>
      </c>
      <c r="K51" s="159">
        <f>(K39+K42*'Factors and Conversions'!$C$22+'Factors and Conversions'!$C$23*'Final Results'!K45)/10^6</f>
        <v>10.053052051760012</v>
      </c>
      <c r="L51" s="159">
        <f>(L39+L42*'Factors and Conversions'!$C$22+'Factors and Conversions'!$C$23*'Final Results'!L45)/10^6</f>
        <v>8.7276956519955906</v>
      </c>
      <c r="M51" s="159">
        <f>(M39+M42*'Factors and Conversions'!$C$22+'Factors and Conversions'!$C$23*'Final Results'!M45)/10^6</f>
        <v>9.1520024446621004</v>
      </c>
      <c r="N51" s="159">
        <f>(N39+N42*'Factors and Conversions'!$C$22+'Factors and Conversions'!$C$23*'Final Results'!N45)/10^6</f>
        <v>10.492256722376744</v>
      </c>
    </row>
    <row r="52" spans="1:14" x14ac:dyDescent="0.25">
      <c r="I52" s="232"/>
      <c r="J52" s="232"/>
      <c r="K52" s="232"/>
      <c r="L52" s="232"/>
      <c r="M52" s="232"/>
      <c r="N52" s="232"/>
    </row>
  </sheetData>
  <autoFilter ref="A1:N51" xr:uid="{00000000-0009-0000-0000-000002000000}"/>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
  <sheetViews>
    <sheetView zoomScaleNormal="100" zoomScalePageLayoutView="110" workbookViewId="0">
      <selection activeCell="H12" sqref="H12"/>
    </sheetView>
  </sheetViews>
  <sheetFormatPr defaultColWidth="8.85546875" defaultRowHeight="15.75" x14ac:dyDescent="0.25"/>
  <cols>
    <col min="1" max="1" width="29.85546875" style="2" bestFit="1" customWidth="1"/>
    <col min="2" max="2" width="11.140625" style="2" customWidth="1"/>
    <col min="3" max="4" width="8.85546875" style="2"/>
    <col min="5" max="5" width="9.42578125" style="2" bestFit="1" customWidth="1"/>
    <col min="6" max="16384" width="8.85546875" style="2"/>
  </cols>
  <sheetData>
    <row r="1" spans="1:11" ht="16.5" thickBot="1" x14ac:dyDescent="0.3"/>
    <row r="2" spans="1:11" x14ac:dyDescent="0.25">
      <c r="A2" s="108" t="s">
        <v>123</v>
      </c>
      <c r="B2" s="109" t="s">
        <v>30</v>
      </c>
      <c r="C2" s="109" t="s">
        <v>31</v>
      </c>
      <c r="D2" s="109" t="s">
        <v>32</v>
      </c>
      <c r="E2" s="109" t="s">
        <v>33</v>
      </c>
      <c r="F2" s="109" t="s">
        <v>34</v>
      </c>
      <c r="G2" s="109" t="s">
        <v>35</v>
      </c>
      <c r="H2" s="110" t="s">
        <v>0</v>
      </c>
    </row>
    <row r="3" spans="1:11" x14ac:dyDescent="0.25">
      <c r="A3" s="31" t="s">
        <v>116</v>
      </c>
      <c r="B3" s="29">
        <f>'Activity &amp; Emissions'!L31+'Activity &amp; Emissions'!T31+'Activity &amp; Emissions'!AB31</f>
        <v>638.4419924904347</v>
      </c>
      <c r="C3" s="29">
        <f>'Activity &amp; Emissions'!M31+'Activity &amp; Emissions'!U31+'Activity &amp; Emissions'!AC31</f>
        <v>685.24208778923526</v>
      </c>
      <c r="D3" s="29">
        <f>'Activity &amp; Emissions'!N31+'Activity &amp; Emissions'!V31+'Activity &amp; Emissions'!AD31</f>
        <v>728.18183786926932</v>
      </c>
      <c r="E3" s="29">
        <f>'Activity &amp; Emissions'!O31+'Activity &amp; Emissions'!W31+'Activity &amp; Emissions'!AE31</f>
        <v>764.95539178988713</v>
      </c>
      <c r="F3" s="29">
        <f>'Activity &amp; Emissions'!P31+'Activity &amp; Emissions'!X31+'Activity &amp; Emissions'!AF31</f>
        <v>803.94794614272598</v>
      </c>
      <c r="G3" s="172">
        <v>860</v>
      </c>
      <c r="H3" s="34">
        <f>'Activity &amp; Emissions'!R31+'Activity &amp; Emissions'!Z31+'Activity &amp; Emissions'!AH31</f>
        <v>932.39056206681175</v>
      </c>
      <c r="K3" s="4"/>
    </row>
    <row r="4" spans="1:11" x14ac:dyDescent="0.25">
      <c r="A4" s="31" t="s">
        <v>122</v>
      </c>
      <c r="B4" s="29">
        <f>'Activity &amp; Emissions'!L53+'Activity &amp; Emissions'!T53+'Activity &amp; Emissions'!AB53</f>
        <v>82.333499519038128</v>
      </c>
      <c r="C4" s="29">
        <f>'Activity &amp; Emissions'!M53+'Activity &amp; Emissions'!U53+'Activity &amp; Emissions'!AC53</f>
        <v>85.694551348351396</v>
      </c>
      <c r="D4" s="29">
        <f>'Activity &amp; Emissions'!N53+'Activity &amp; Emissions'!V53+'Activity &amp; Emissions'!AD53</f>
        <v>101.09090885860935</v>
      </c>
      <c r="E4" s="29">
        <f>'Activity &amp; Emissions'!O53+'Activity &amp; Emissions'!W53+'Activity &amp; Emissions'!AE53</f>
        <v>105.69590839726774</v>
      </c>
      <c r="F4" s="29">
        <f>'Activity &amp; Emissions'!P53+'Activity &amp; Emissions'!X53+'Activity &amp; Emissions'!AF53</f>
        <v>123.74705018160343</v>
      </c>
      <c r="G4" s="172">
        <v>129</v>
      </c>
      <c r="H4" s="34">
        <f>'Activity &amp; Emissions'!R53+'Activity &amp; Emissions'!Z53+'Activity &amp; Emissions'!AH53</f>
        <v>141.13071202110564</v>
      </c>
    </row>
    <row r="5" spans="1:11" x14ac:dyDescent="0.25">
      <c r="A5" s="31" t="s">
        <v>45</v>
      </c>
      <c r="B5" s="29">
        <f>B4+B3</f>
        <v>720.77549200947283</v>
      </c>
      <c r="C5" s="29">
        <f t="shared" ref="C5:H5" si="0">C4+C3</f>
        <v>770.93663913758667</v>
      </c>
      <c r="D5" s="29">
        <f t="shared" si="0"/>
        <v>829.27274672787871</v>
      </c>
      <c r="E5" s="29">
        <f t="shared" si="0"/>
        <v>870.6513001871549</v>
      </c>
      <c r="F5" s="29">
        <f t="shared" si="0"/>
        <v>927.6949963243294</v>
      </c>
      <c r="G5" s="172">
        <f>G4+G3</f>
        <v>989</v>
      </c>
      <c r="H5" s="34">
        <f t="shared" si="0"/>
        <v>1073.5212740879174</v>
      </c>
      <c r="J5" s="5"/>
    </row>
    <row r="6" spans="1:11" x14ac:dyDescent="0.25">
      <c r="A6" s="31" t="s">
        <v>126</v>
      </c>
      <c r="B6" s="29">
        <v>719.30534</v>
      </c>
      <c r="C6" s="29"/>
      <c r="D6" s="29"/>
      <c r="E6" s="29">
        <v>819.69</v>
      </c>
      <c r="F6" s="29"/>
      <c r="G6" s="29"/>
      <c r="H6" s="34"/>
    </row>
    <row r="7" spans="1:11" ht="16.5" thickBot="1" x14ac:dyDescent="0.3">
      <c r="A7" s="35"/>
      <c r="B7" s="55">
        <f>B5/B6</f>
        <v>1.002043849708488</v>
      </c>
      <c r="C7" s="42"/>
      <c r="D7" s="42"/>
      <c r="E7" s="55">
        <f>E5/E6</f>
        <v>1.0621714308911354</v>
      </c>
      <c r="F7" s="43"/>
      <c r="G7" s="43"/>
      <c r="H7" s="111"/>
    </row>
    <row r="8" spans="1:11" x14ac:dyDescent="0.25">
      <c r="J8" s="4"/>
    </row>
    <row r="9" spans="1:11" ht="16.5" thickBot="1" x14ac:dyDescent="0.3">
      <c r="F9" s="3"/>
      <c r="G9" s="3"/>
      <c r="H9" s="3"/>
      <c r="I9" s="3"/>
      <c r="J9" s="3"/>
    </row>
    <row r="10" spans="1:11" x14ac:dyDescent="0.25">
      <c r="A10" s="39" t="s">
        <v>127</v>
      </c>
      <c r="B10" s="40">
        <v>2007</v>
      </c>
      <c r="C10" s="40">
        <v>2008</v>
      </c>
      <c r="D10" s="40">
        <v>2009</v>
      </c>
      <c r="E10" s="40">
        <v>2010</v>
      </c>
      <c r="F10" s="40">
        <v>2011</v>
      </c>
      <c r="G10" s="41">
        <v>2012</v>
      </c>
    </row>
    <row r="11" spans="1:11" x14ac:dyDescent="0.25">
      <c r="A11" s="31" t="s">
        <v>116</v>
      </c>
      <c r="B11" s="29">
        <f>1/4*B3+3/4*C3</f>
        <v>673.54206396453503</v>
      </c>
      <c r="C11" s="29">
        <f t="shared" ref="C11:E11" si="1">1/4*C3+3/4*D3</f>
        <v>717.44690034926089</v>
      </c>
      <c r="D11" s="29">
        <f t="shared" si="1"/>
        <v>755.76200330973268</v>
      </c>
      <c r="E11" s="29">
        <f t="shared" si="1"/>
        <v>794.19980755451627</v>
      </c>
      <c r="F11" s="156">
        <v>852.17</v>
      </c>
      <c r="G11" s="157">
        <v>916.39</v>
      </c>
      <c r="H11" s="3"/>
    </row>
    <row r="12" spans="1:11" x14ac:dyDescent="0.25">
      <c r="A12" s="31" t="s">
        <v>122</v>
      </c>
      <c r="B12" s="29">
        <f t="shared" ref="B12:E13" si="2">1/4*B4+3/4*C4</f>
        <v>84.854288391023076</v>
      </c>
      <c r="C12" s="29">
        <f t="shared" si="2"/>
        <v>97.241819481044871</v>
      </c>
      <c r="D12" s="29">
        <f t="shared" si="2"/>
        <v>104.54465851260314</v>
      </c>
      <c r="E12" s="29">
        <f t="shared" si="2"/>
        <v>119.2342647355195</v>
      </c>
      <c r="F12" s="156">
        <v>130.27000000000001</v>
      </c>
      <c r="G12" s="157">
        <v>138.96</v>
      </c>
      <c r="H12" s="3"/>
    </row>
    <row r="13" spans="1:11" ht="16.5" thickBot="1" x14ac:dyDescent="0.3">
      <c r="A13" s="35" t="s">
        <v>45</v>
      </c>
      <c r="B13" s="45">
        <f t="shared" si="2"/>
        <v>758.39635235555829</v>
      </c>
      <c r="C13" s="45">
        <f t="shared" si="2"/>
        <v>814.68871983030567</v>
      </c>
      <c r="D13" s="45">
        <f t="shared" si="2"/>
        <v>860.30666182233585</v>
      </c>
      <c r="E13" s="45">
        <f t="shared" si="2"/>
        <v>913.43407229003572</v>
      </c>
      <c r="F13" s="60">
        <v>982.43</v>
      </c>
      <c r="G13" s="158">
        <v>1055.3499999999999</v>
      </c>
      <c r="H13" s="3"/>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2"/>
  <sheetViews>
    <sheetView topLeftCell="A16" zoomScale="80" zoomScaleNormal="80" workbookViewId="0">
      <selection activeCell="C21" sqref="C21"/>
    </sheetView>
  </sheetViews>
  <sheetFormatPr defaultColWidth="8.85546875" defaultRowHeight="15.75" x14ac:dyDescent="0.25"/>
  <cols>
    <col min="1" max="1" width="32.28515625" style="2" bestFit="1" customWidth="1"/>
    <col min="2" max="2" width="12.140625" style="2" bestFit="1" customWidth="1"/>
    <col min="3" max="3" width="13.7109375" style="2" bestFit="1" customWidth="1"/>
    <col min="4" max="4" width="12.28515625" style="2" bestFit="1" customWidth="1"/>
    <col min="5" max="5" width="13.140625" style="2" bestFit="1" customWidth="1"/>
    <col min="6" max="6" width="14.28515625" style="2" customWidth="1"/>
    <col min="7" max="7" width="10.7109375" style="2" bestFit="1" customWidth="1"/>
    <col min="8" max="8" width="15" style="2" bestFit="1" customWidth="1"/>
    <col min="9" max="9" width="15.85546875" style="2" bestFit="1" customWidth="1"/>
    <col min="10" max="10" width="11.42578125" style="2" bestFit="1" customWidth="1"/>
    <col min="11" max="11" width="12.42578125" style="2" bestFit="1" customWidth="1"/>
    <col min="12" max="14" width="11.42578125" style="2" bestFit="1" customWidth="1"/>
    <col min="15" max="15" width="17" style="2" bestFit="1" customWidth="1"/>
    <col min="16" max="16" width="10.7109375" style="2" bestFit="1" customWidth="1"/>
    <col min="17" max="17" width="15.140625" style="2" bestFit="1" customWidth="1"/>
    <col min="18" max="18" width="16.28515625" style="2" bestFit="1" customWidth="1"/>
    <col min="19" max="19" width="10" style="2" bestFit="1" customWidth="1"/>
    <col min="20" max="20" width="10.7109375" style="2" bestFit="1" customWidth="1"/>
    <col min="21" max="21" width="8.85546875" style="2"/>
    <col min="22" max="22" width="9.42578125" style="2" bestFit="1" customWidth="1"/>
    <col min="23" max="16384" width="8.85546875" style="2"/>
  </cols>
  <sheetData>
    <row r="1" spans="1:17" ht="16.5" thickBot="1" x14ac:dyDescent="0.3"/>
    <row r="2" spans="1:17" x14ac:dyDescent="0.25">
      <c r="A2" s="39" t="s">
        <v>9</v>
      </c>
      <c r="B2" s="40"/>
      <c r="C2" s="40"/>
      <c r="D2" s="40"/>
      <c r="E2" s="40"/>
      <c r="F2" s="40"/>
      <c r="G2" s="40"/>
      <c r="H2" s="40"/>
      <c r="I2" s="40"/>
      <c r="J2" s="41"/>
    </row>
    <row r="3" spans="1:17" x14ac:dyDescent="0.25">
      <c r="A3" s="31"/>
      <c r="B3" s="26" t="s">
        <v>0</v>
      </c>
      <c r="C3" s="26" t="s">
        <v>35</v>
      </c>
      <c r="D3" s="26" t="s">
        <v>34</v>
      </c>
      <c r="E3" s="26" t="s">
        <v>33</v>
      </c>
      <c r="F3" s="26" t="s">
        <v>32</v>
      </c>
      <c r="G3" s="26" t="s">
        <v>31</v>
      </c>
      <c r="H3" s="26" t="s">
        <v>30</v>
      </c>
      <c r="I3" s="26" t="s">
        <v>29</v>
      </c>
      <c r="J3" s="184" t="s">
        <v>28</v>
      </c>
    </row>
    <row r="4" spans="1:17" x14ac:dyDescent="0.25">
      <c r="A4" s="31" t="s">
        <v>2</v>
      </c>
      <c r="B4" s="29">
        <v>132</v>
      </c>
      <c r="C4" s="29"/>
      <c r="D4" s="29">
        <v>107</v>
      </c>
      <c r="E4" s="29">
        <v>99</v>
      </c>
      <c r="F4" s="29">
        <v>97</v>
      </c>
      <c r="G4" s="29">
        <v>97</v>
      </c>
      <c r="H4" s="29">
        <v>95</v>
      </c>
      <c r="I4" s="27"/>
      <c r="J4" s="32"/>
    </row>
    <row r="5" spans="1:17" x14ac:dyDescent="0.25">
      <c r="A5" s="31" t="s">
        <v>1</v>
      </c>
      <c r="B5" s="29">
        <v>110</v>
      </c>
      <c r="C5" s="29"/>
      <c r="D5" s="29">
        <v>107</v>
      </c>
      <c r="E5" s="29">
        <v>99</v>
      </c>
      <c r="F5" s="29">
        <v>97</v>
      </c>
      <c r="G5" s="29">
        <v>97</v>
      </c>
      <c r="H5" s="29">
        <v>95</v>
      </c>
      <c r="I5" s="27"/>
      <c r="J5" s="32"/>
    </row>
    <row r="6" spans="1:17" ht="16.5" thickBot="1" x14ac:dyDescent="0.3">
      <c r="A6" s="35" t="s">
        <v>21</v>
      </c>
      <c r="B6" s="42">
        <v>0.33839999999999998</v>
      </c>
      <c r="C6" s="43"/>
      <c r="D6" s="42">
        <v>0.32729999999999998</v>
      </c>
      <c r="E6" s="42">
        <v>0.32529999999999998</v>
      </c>
      <c r="F6" s="42">
        <v>0.32790000000000002</v>
      </c>
      <c r="G6" s="42">
        <v>0.32690000000000002</v>
      </c>
      <c r="H6" s="42">
        <v>0.32440000000000002</v>
      </c>
      <c r="I6" s="42">
        <v>0.32729999999999998</v>
      </c>
      <c r="J6" s="44">
        <v>0.3216</v>
      </c>
    </row>
    <row r="7" spans="1:17" ht="16.5" thickBot="1" x14ac:dyDescent="0.3"/>
    <row r="8" spans="1:17" ht="16.5" thickBot="1" x14ac:dyDescent="0.3">
      <c r="A8" s="178" t="s">
        <v>10</v>
      </c>
      <c r="B8" s="233" t="s">
        <v>12</v>
      </c>
      <c r="C8" s="233"/>
      <c r="D8" s="233"/>
      <c r="E8" s="233"/>
      <c r="F8" s="233"/>
      <c r="G8" s="233"/>
      <c r="H8" s="233"/>
      <c r="I8" s="233" t="s">
        <v>16</v>
      </c>
      <c r="J8" s="233"/>
      <c r="K8" s="233"/>
      <c r="L8" s="233"/>
      <c r="M8" s="233" t="s">
        <v>18</v>
      </c>
      <c r="N8" s="233"/>
      <c r="O8" s="234"/>
    </row>
    <row r="9" spans="1:17" x14ac:dyDescent="0.25">
      <c r="A9" s="175"/>
      <c r="B9" s="176" t="s">
        <v>4</v>
      </c>
      <c r="C9" s="176" t="s">
        <v>5</v>
      </c>
      <c r="D9" s="176" t="s">
        <v>6</v>
      </c>
      <c r="E9" s="176" t="s">
        <v>7</v>
      </c>
      <c r="F9" s="176" t="s">
        <v>8</v>
      </c>
      <c r="G9" s="176" t="s">
        <v>3</v>
      </c>
      <c r="H9" s="176" t="s">
        <v>11</v>
      </c>
      <c r="I9" s="176" t="s">
        <v>17</v>
      </c>
      <c r="J9" s="176" t="s">
        <v>13</v>
      </c>
      <c r="K9" s="176" t="s">
        <v>14</v>
      </c>
      <c r="L9" s="176" t="s">
        <v>15</v>
      </c>
      <c r="M9" s="176" t="s">
        <v>19</v>
      </c>
      <c r="N9" s="176" t="s">
        <v>20</v>
      </c>
      <c r="O9" s="177" t="s">
        <v>15</v>
      </c>
    </row>
    <row r="10" spans="1:17" x14ac:dyDescent="0.25">
      <c r="A10" s="31" t="s">
        <v>0</v>
      </c>
      <c r="B10" s="28">
        <v>454581</v>
      </c>
      <c r="C10" s="28">
        <v>763737</v>
      </c>
      <c r="D10" s="28">
        <v>229581</v>
      </c>
      <c r="E10" s="28">
        <v>44334</v>
      </c>
      <c r="F10" s="28">
        <v>187525</v>
      </c>
      <c r="G10" s="28">
        <v>31837</v>
      </c>
      <c r="H10" s="28">
        <v>691341.21</v>
      </c>
      <c r="I10" s="28">
        <v>15844</v>
      </c>
      <c r="J10" s="28">
        <v>333226</v>
      </c>
      <c r="K10" s="28">
        <v>1191879</v>
      </c>
      <c r="L10" s="28">
        <v>66663.91</v>
      </c>
      <c r="M10" s="28">
        <v>353348</v>
      </c>
      <c r="N10" s="28">
        <v>6384</v>
      </c>
      <c r="O10" s="33">
        <v>2448.44</v>
      </c>
      <c r="P10" s="7"/>
      <c r="Q10" s="7"/>
    </row>
    <row r="11" spans="1:17" x14ac:dyDescent="0.25">
      <c r="A11" s="31" t="s">
        <v>35</v>
      </c>
      <c r="B11" s="29"/>
      <c r="C11" s="29"/>
      <c r="D11" s="29"/>
      <c r="E11" s="29"/>
      <c r="F11" s="29"/>
      <c r="G11" s="29"/>
      <c r="H11" s="29"/>
      <c r="I11" s="29"/>
      <c r="J11" s="29"/>
      <c r="K11" s="29"/>
      <c r="L11" s="29"/>
      <c r="M11" s="29"/>
      <c r="N11" s="29"/>
      <c r="O11" s="34"/>
    </row>
    <row r="12" spans="1:17" x14ac:dyDescent="0.25">
      <c r="A12" s="31" t="s">
        <v>34</v>
      </c>
      <c r="B12" s="28">
        <f>380571</f>
        <v>380571</v>
      </c>
      <c r="C12" s="28">
        <v>897316</v>
      </c>
      <c r="D12" s="28">
        <v>326151</v>
      </c>
      <c r="E12" s="28">
        <v>4699</v>
      </c>
      <c r="F12" s="28">
        <v>611036</v>
      </c>
      <c r="G12" s="28">
        <f>28951</f>
        <v>28951</v>
      </c>
      <c r="H12" s="28">
        <v>560197.74</v>
      </c>
      <c r="I12" s="28">
        <v>22662.69</v>
      </c>
      <c r="J12" s="28">
        <v>15333.03</v>
      </c>
      <c r="K12" s="28">
        <v>611476.85</v>
      </c>
      <c r="L12" s="28">
        <v>100342.35</v>
      </c>
      <c r="M12" s="28">
        <v>489747</v>
      </c>
      <c r="N12" s="28">
        <v>213207</v>
      </c>
      <c r="O12" s="33">
        <v>3181.33</v>
      </c>
      <c r="P12" s="7"/>
    </row>
    <row r="13" spans="1:17" x14ac:dyDescent="0.25">
      <c r="A13" s="31" t="s">
        <v>33</v>
      </c>
      <c r="B13" s="28">
        <v>362243</v>
      </c>
      <c r="C13" s="28">
        <v>1007110</v>
      </c>
      <c r="D13" s="28">
        <v>256251</v>
      </c>
      <c r="E13" s="28">
        <v>133320</v>
      </c>
      <c r="F13" s="28">
        <v>293322</v>
      </c>
      <c r="G13" s="28">
        <v>26794</v>
      </c>
      <c r="H13" s="28">
        <v>534912.03</v>
      </c>
      <c r="I13" s="28">
        <v>20727.759999999998</v>
      </c>
      <c r="J13" s="28">
        <v>199811.86</v>
      </c>
      <c r="K13" s="28">
        <v>1230069.08</v>
      </c>
      <c r="L13" s="28">
        <v>96373.09</v>
      </c>
      <c r="M13" s="28">
        <v>619280</v>
      </c>
      <c r="N13" s="28">
        <v>207417.44</v>
      </c>
      <c r="O13" s="33">
        <v>4248.4799999999996</v>
      </c>
    </row>
    <row r="14" spans="1:17" x14ac:dyDescent="0.25">
      <c r="A14" s="31" t="s">
        <v>32</v>
      </c>
      <c r="B14" s="28">
        <v>351085</v>
      </c>
      <c r="C14" s="28">
        <v>1351012</v>
      </c>
      <c r="D14" s="28">
        <v>254037</v>
      </c>
      <c r="E14" s="28">
        <v>384789</v>
      </c>
      <c r="F14" s="28">
        <v>59551</v>
      </c>
      <c r="G14" s="28">
        <v>25103</v>
      </c>
      <c r="H14" s="28">
        <v>511895.05</v>
      </c>
      <c r="I14" s="28">
        <v>12903.05</v>
      </c>
      <c r="J14" s="28">
        <v>298421.57</v>
      </c>
      <c r="K14" s="28">
        <v>1634652</v>
      </c>
      <c r="L14" s="28">
        <v>72053.539999999994</v>
      </c>
      <c r="M14" s="28">
        <v>644825</v>
      </c>
      <c r="N14" s="28">
        <v>107147.72</v>
      </c>
      <c r="O14" s="33">
        <v>4333.24</v>
      </c>
    </row>
    <row r="15" spans="1:17" x14ac:dyDescent="0.25">
      <c r="A15" s="31" t="s">
        <v>31</v>
      </c>
      <c r="B15" s="28">
        <v>327173</v>
      </c>
      <c r="C15" s="28">
        <v>1330965</v>
      </c>
      <c r="D15" s="28">
        <v>241479</v>
      </c>
      <c r="E15" s="28">
        <v>418237</v>
      </c>
      <c r="F15" s="28">
        <v>219193</v>
      </c>
      <c r="G15" s="28">
        <v>26105</v>
      </c>
      <c r="H15" s="28">
        <v>486998.16</v>
      </c>
      <c r="I15" s="28">
        <v>14171.35</v>
      </c>
      <c r="J15" s="28">
        <v>466845.58</v>
      </c>
      <c r="K15" s="28">
        <v>839267.5</v>
      </c>
      <c r="L15" s="28">
        <v>69716.31</v>
      </c>
      <c r="M15" s="28">
        <v>458022</v>
      </c>
      <c r="N15" s="28">
        <v>106095</v>
      </c>
      <c r="O15" s="33">
        <v>3357.31</v>
      </c>
    </row>
    <row r="16" spans="1:17" ht="16.5" thickBot="1" x14ac:dyDescent="0.3">
      <c r="A16" s="35" t="s">
        <v>30</v>
      </c>
      <c r="B16" s="36">
        <v>305529</v>
      </c>
      <c r="C16" s="36">
        <v>1101217</v>
      </c>
      <c r="D16" s="36">
        <v>260345</v>
      </c>
      <c r="E16" s="36">
        <v>444203</v>
      </c>
      <c r="F16" s="36" t="s">
        <v>66</v>
      </c>
      <c r="G16" s="36">
        <v>23325</v>
      </c>
      <c r="H16" s="36">
        <v>461794.18</v>
      </c>
      <c r="I16" s="36">
        <v>13273.78</v>
      </c>
      <c r="J16" s="36">
        <v>400745</v>
      </c>
      <c r="K16" s="36">
        <v>784264</v>
      </c>
      <c r="L16" s="36">
        <v>64157.25</v>
      </c>
      <c r="M16" s="36">
        <v>442089</v>
      </c>
      <c r="N16" s="36">
        <v>102887</v>
      </c>
      <c r="O16" s="37">
        <v>2538.98</v>
      </c>
    </row>
    <row r="17" spans="1:22" ht="16.5" thickBot="1" x14ac:dyDescent="0.3"/>
    <row r="18" spans="1:22" ht="16.5" thickBot="1" x14ac:dyDescent="0.3">
      <c r="A18" s="178" t="s">
        <v>22</v>
      </c>
      <c r="B18" s="182" t="s">
        <v>23</v>
      </c>
      <c r="C18" s="182" t="s">
        <v>24</v>
      </c>
      <c r="D18" s="182" t="s">
        <v>25</v>
      </c>
      <c r="E18" s="182" t="s">
        <v>20</v>
      </c>
      <c r="F18" s="183" t="s">
        <v>26</v>
      </c>
      <c r="G18" s="11"/>
      <c r="H18" s="30" t="s">
        <v>61</v>
      </c>
      <c r="I18" s="40"/>
      <c r="J18" s="40"/>
      <c r="K18" s="40"/>
      <c r="L18" s="40"/>
      <c r="M18" s="40"/>
      <c r="N18" s="40"/>
      <c r="O18" s="40"/>
      <c r="P18" s="40"/>
      <c r="Q18" s="40"/>
      <c r="R18" s="40"/>
      <c r="S18" s="40"/>
      <c r="T18" s="40"/>
      <c r="U18" s="40"/>
      <c r="V18" s="41"/>
    </row>
    <row r="19" spans="1:22" ht="16.5" thickBot="1" x14ac:dyDescent="0.3">
      <c r="A19" s="175" t="s">
        <v>27</v>
      </c>
      <c r="B19" s="179">
        <v>265</v>
      </c>
      <c r="C19" s="179">
        <v>23</v>
      </c>
      <c r="D19" s="180">
        <v>1365309</v>
      </c>
      <c r="E19" s="180">
        <v>469488</v>
      </c>
      <c r="F19" s="181">
        <v>431484</v>
      </c>
      <c r="G19" s="11"/>
      <c r="H19" s="35"/>
      <c r="I19" s="43" t="s">
        <v>49</v>
      </c>
      <c r="J19" s="43" t="s">
        <v>50</v>
      </c>
      <c r="K19" s="43" t="s">
        <v>51</v>
      </c>
      <c r="L19" s="43" t="s">
        <v>52</v>
      </c>
      <c r="M19" s="43" t="s">
        <v>53</v>
      </c>
      <c r="N19" s="43" t="s">
        <v>54</v>
      </c>
      <c r="O19" s="43" t="s">
        <v>55</v>
      </c>
      <c r="P19" s="43" t="s">
        <v>56</v>
      </c>
      <c r="Q19" s="43" t="s">
        <v>57</v>
      </c>
      <c r="R19" s="43" t="s">
        <v>58</v>
      </c>
      <c r="S19" s="43" t="s">
        <v>59</v>
      </c>
      <c r="T19" s="43" t="s">
        <v>60</v>
      </c>
      <c r="U19" s="43"/>
      <c r="V19" s="46"/>
    </row>
    <row r="20" spans="1:22" x14ac:dyDescent="0.25">
      <c r="A20" s="31" t="s">
        <v>28</v>
      </c>
      <c r="B20" s="29">
        <v>279</v>
      </c>
      <c r="C20" s="29">
        <v>23</v>
      </c>
      <c r="D20" s="28">
        <v>1193126</v>
      </c>
      <c r="E20" s="28">
        <v>242513</v>
      </c>
      <c r="F20" s="173">
        <v>579976</v>
      </c>
      <c r="G20" s="11"/>
      <c r="H20" s="39" t="s">
        <v>0</v>
      </c>
      <c r="I20" s="185">
        <v>118.18</v>
      </c>
      <c r="J20" s="185">
        <v>113166.95</v>
      </c>
      <c r="K20" s="185">
        <v>8205.2199999999993</v>
      </c>
      <c r="L20" s="185">
        <v>20768.88</v>
      </c>
      <c r="M20" s="185">
        <v>1750.42</v>
      </c>
      <c r="N20" s="185">
        <v>144009.65</v>
      </c>
      <c r="O20" s="185">
        <v>12497.72</v>
      </c>
      <c r="P20" s="185">
        <f>N20-O20</f>
        <v>131511.93</v>
      </c>
      <c r="Q20" s="185">
        <v>16054.14</v>
      </c>
      <c r="R20" s="185">
        <f>P20-Q20</f>
        <v>115457.79</v>
      </c>
      <c r="S20" s="185">
        <v>59013.37</v>
      </c>
      <c r="T20" s="185">
        <f>S20+R20</f>
        <v>174471.16</v>
      </c>
      <c r="U20" s="40"/>
      <c r="V20" s="186">
        <f>T20/10^3</f>
        <v>174.47116</v>
      </c>
    </row>
    <row r="21" spans="1:22" x14ac:dyDescent="0.25">
      <c r="A21" s="31" t="s">
        <v>29</v>
      </c>
      <c r="B21" s="29">
        <v>283</v>
      </c>
      <c r="C21" s="29">
        <v>23</v>
      </c>
      <c r="D21" s="28">
        <v>1183142</v>
      </c>
      <c r="E21" s="28">
        <v>217634</v>
      </c>
      <c r="F21" s="173">
        <v>463253</v>
      </c>
      <c r="G21" s="11"/>
      <c r="H21" s="31" t="s">
        <v>35</v>
      </c>
      <c r="I21" s="28"/>
      <c r="J21" s="28"/>
      <c r="K21" s="28"/>
      <c r="L21" s="28"/>
      <c r="M21" s="28"/>
      <c r="N21" s="28"/>
      <c r="O21" s="28"/>
      <c r="P21" s="28"/>
      <c r="Q21" s="28"/>
      <c r="R21" s="28"/>
      <c r="S21" s="28"/>
      <c r="T21" s="28"/>
      <c r="U21" s="27"/>
      <c r="V21" s="47">
        <f t="shared" ref="V21:V26" si="0">T21/10^3</f>
        <v>0</v>
      </c>
    </row>
    <row r="22" spans="1:22" x14ac:dyDescent="0.25">
      <c r="A22" s="31" t="s">
        <v>30</v>
      </c>
      <c r="B22" s="29">
        <v>306</v>
      </c>
      <c r="C22" s="29">
        <v>23</v>
      </c>
      <c r="D22" s="28">
        <v>1101217</v>
      </c>
      <c r="E22" s="28">
        <v>260345</v>
      </c>
      <c r="F22" s="173">
        <v>444203</v>
      </c>
      <c r="G22" s="11"/>
      <c r="H22" s="31" t="s">
        <v>34</v>
      </c>
      <c r="I22" s="28">
        <v>148.79</v>
      </c>
      <c r="J22" s="28">
        <v>96657.13</v>
      </c>
      <c r="K22" s="28">
        <v>7753.53</v>
      </c>
      <c r="L22" s="28">
        <v>15435.17</v>
      </c>
      <c r="M22" s="28">
        <v>922.29</v>
      </c>
      <c r="N22" s="28">
        <f>SUM(I22:M22)</f>
        <v>120916.90999999999</v>
      </c>
      <c r="O22" s="28">
        <v>10590.51</v>
      </c>
      <c r="P22" s="28">
        <f>N22-O22</f>
        <v>110326.39999999999</v>
      </c>
      <c r="Q22" s="28">
        <v>14228.03</v>
      </c>
      <c r="R22" s="28">
        <f>P22-Q22</f>
        <v>96098.37</v>
      </c>
      <c r="S22" s="28">
        <v>50646.17</v>
      </c>
      <c r="T22" s="28">
        <f>S22+R22</f>
        <v>146744.53999999998</v>
      </c>
      <c r="U22" s="27"/>
      <c r="V22" s="47">
        <f t="shared" si="0"/>
        <v>146.74453999999997</v>
      </c>
    </row>
    <row r="23" spans="1:22" x14ac:dyDescent="0.25">
      <c r="A23" s="31" t="s">
        <v>31</v>
      </c>
      <c r="B23" s="29">
        <v>327</v>
      </c>
      <c r="C23" s="29">
        <v>26</v>
      </c>
      <c r="D23" s="28">
        <v>1330965</v>
      </c>
      <c r="E23" s="28">
        <v>241479</v>
      </c>
      <c r="F23" s="173">
        <v>418237</v>
      </c>
      <c r="G23" s="11"/>
      <c r="H23" s="31" t="s">
        <v>33</v>
      </c>
      <c r="I23" s="28">
        <v>151.78</v>
      </c>
      <c r="J23" s="28">
        <v>77416.34</v>
      </c>
      <c r="K23" s="28">
        <v>8217.2199999999993</v>
      </c>
      <c r="L23" s="28">
        <v>19738.71</v>
      </c>
      <c r="M23" s="28">
        <v>609.04999999999995</v>
      </c>
      <c r="N23" s="28">
        <f>SUM(I23:M23)</f>
        <v>106133.09999999999</v>
      </c>
      <c r="O23" s="28">
        <v>8688.43</v>
      </c>
      <c r="P23" s="28">
        <f>N23-O23</f>
        <v>97444.669999999984</v>
      </c>
      <c r="Q23" s="28">
        <v>9032.34</v>
      </c>
      <c r="R23" s="28">
        <f>P23-Q23</f>
        <v>88412.329999999987</v>
      </c>
      <c r="S23" s="28">
        <v>47902.49</v>
      </c>
      <c r="T23" s="28">
        <f>S23+R23</f>
        <v>136314.81999999998</v>
      </c>
      <c r="U23" s="27"/>
      <c r="V23" s="47">
        <f t="shared" si="0"/>
        <v>136.31481999999997</v>
      </c>
    </row>
    <row r="24" spans="1:22" x14ac:dyDescent="0.25">
      <c r="A24" s="31" t="s">
        <v>32</v>
      </c>
      <c r="B24" s="29">
        <v>351</v>
      </c>
      <c r="C24" s="29">
        <v>25</v>
      </c>
      <c r="D24" s="28">
        <v>1351012</v>
      </c>
      <c r="E24" s="28">
        <v>254037</v>
      </c>
      <c r="F24" s="173">
        <v>384896</v>
      </c>
      <c r="G24" s="11"/>
      <c r="H24" s="31" t="s">
        <v>32</v>
      </c>
      <c r="I24" s="28">
        <v>146.01</v>
      </c>
      <c r="J24" s="28">
        <v>73626.490000000005</v>
      </c>
      <c r="K24" s="28">
        <v>10082.14</v>
      </c>
      <c r="L24" s="28">
        <v>15306.09</v>
      </c>
      <c r="M24" s="28">
        <v>560.42999999999995</v>
      </c>
      <c r="N24" s="28">
        <f>SUM(I24:M24)</f>
        <v>99721.159999999989</v>
      </c>
      <c r="O24" s="28">
        <v>7707.43</v>
      </c>
      <c r="P24" s="28">
        <f>N24-O24</f>
        <v>92013.729999999981</v>
      </c>
      <c r="Q24" s="28">
        <v>8283.99</v>
      </c>
      <c r="R24" s="28">
        <v>83729.740000000005</v>
      </c>
      <c r="S24" s="28">
        <v>40989.35</v>
      </c>
      <c r="T24" s="28">
        <f>S24+R24</f>
        <v>124719.09</v>
      </c>
      <c r="U24" s="27"/>
      <c r="V24" s="47">
        <f t="shared" si="0"/>
        <v>124.71908999999999</v>
      </c>
    </row>
    <row r="25" spans="1:22" x14ac:dyDescent="0.25">
      <c r="A25" s="31" t="s">
        <v>33</v>
      </c>
      <c r="B25" s="29">
        <v>363</v>
      </c>
      <c r="C25" s="29">
        <v>27</v>
      </c>
      <c r="D25" s="28">
        <v>1007110</v>
      </c>
      <c r="E25" s="28">
        <v>256251</v>
      </c>
      <c r="F25" s="173">
        <v>133320</v>
      </c>
      <c r="G25" s="11"/>
      <c r="H25" s="31" t="s">
        <v>31</v>
      </c>
      <c r="I25" s="28">
        <v>202.21</v>
      </c>
      <c r="J25" s="28">
        <v>53568.52</v>
      </c>
      <c r="K25" s="28">
        <v>10737.96</v>
      </c>
      <c r="L25" s="28">
        <v>25584.57</v>
      </c>
      <c r="M25" s="28">
        <v>383.43</v>
      </c>
      <c r="N25" s="29">
        <f>SUM(I25:M25)</f>
        <v>90476.689999999988</v>
      </c>
      <c r="O25" s="28">
        <v>7038.17</v>
      </c>
      <c r="P25" s="28">
        <f>N25-O25</f>
        <v>83438.51999999999</v>
      </c>
      <c r="Q25" s="28">
        <v>7455.68</v>
      </c>
      <c r="R25" s="29">
        <f>P25-Q25</f>
        <v>75982.84</v>
      </c>
      <c r="S25" s="28">
        <v>40035.32</v>
      </c>
      <c r="T25" s="29">
        <f>S25+R25</f>
        <v>116018.16</v>
      </c>
      <c r="U25" s="27"/>
      <c r="V25" s="47">
        <f t="shared" si="0"/>
        <v>116.01816000000001</v>
      </c>
    </row>
    <row r="26" spans="1:22" ht="16.5" thickBot="1" x14ac:dyDescent="0.3">
      <c r="A26" s="31" t="s">
        <v>34</v>
      </c>
      <c r="B26" s="29">
        <v>380</v>
      </c>
      <c r="C26" s="29">
        <v>29</v>
      </c>
      <c r="D26" s="28">
        <v>897316</v>
      </c>
      <c r="E26" s="28">
        <v>326151</v>
      </c>
      <c r="F26" s="173">
        <v>4699</v>
      </c>
      <c r="G26" s="11"/>
      <c r="H26" s="35" t="s">
        <v>30</v>
      </c>
      <c r="I26" s="36">
        <v>217.81</v>
      </c>
      <c r="J26" s="36">
        <v>56184.03</v>
      </c>
      <c r="K26" s="36">
        <v>9974.86</v>
      </c>
      <c r="L26" s="36">
        <v>15207.18</v>
      </c>
      <c r="M26" s="36">
        <v>215.88</v>
      </c>
      <c r="N26" s="45">
        <f>SUM(I26:M26)</f>
        <v>81799.760000000009</v>
      </c>
      <c r="O26" s="36">
        <v>6655.38</v>
      </c>
      <c r="P26" s="36">
        <f>N26-O26</f>
        <v>75144.38</v>
      </c>
      <c r="Q26" s="36">
        <v>5221.41</v>
      </c>
      <c r="R26" s="45">
        <f>P26-Q26</f>
        <v>69922.97</v>
      </c>
      <c r="S26" s="36">
        <v>36628.800000000003</v>
      </c>
      <c r="T26" s="45">
        <f>S26+R26</f>
        <v>106551.77</v>
      </c>
      <c r="U26" s="43"/>
      <c r="V26" s="48">
        <f t="shared" si="0"/>
        <v>106.55177</v>
      </c>
    </row>
    <row r="27" spans="1:22" ht="16.5" thickBot="1" x14ac:dyDescent="0.3">
      <c r="A27" s="31" t="s">
        <v>35</v>
      </c>
      <c r="B27" s="29">
        <v>411</v>
      </c>
      <c r="C27" s="29">
        <v>31</v>
      </c>
      <c r="D27" s="28">
        <v>848262</v>
      </c>
      <c r="E27" s="28">
        <v>257701</v>
      </c>
      <c r="F27" s="173">
        <v>44797</v>
      </c>
      <c r="G27" s="11"/>
    </row>
    <row r="28" spans="1:22" ht="16.5" thickBot="1" x14ac:dyDescent="0.3">
      <c r="A28" s="50" t="s">
        <v>0</v>
      </c>
      <c r="B28" s="51">
        <v>455</v>
      </c>
      <c r="C28" s="51">
        <f>1/ ('Raw Data'!B6)</f>
        <v>2.9550827423167849</v>
      </c>
      <c r="D28" s="52">
        <v>763737</v>
      </c>
      <c r="E28" s="52">
        <v>6384</v>
      </c>
      <c r="F28" s="174">
        <v>44334</v>
      </c>
      <c r="G28" s="11"/>
      <c r="H28" s="30" t="s">
        <v>65</v>
      </c>
      <c r="I28" s="40"/>
      <c r="J28" s="40"/>
      <c r="K28" s="40"/>
      <c r="L28" s="40"/>
      <c r="M28" s="40"/>
      <c r="N28" s="41"/>
    </row>
    <row r="29" spans="1:22" ht="16.5" thickBot="1" x14ac:dyDescent="0.3">
      <c r="A29" s="39" t="s">
        <v>36</v>
      </c>
      <c r="B29" s="40" t="s">
        <v>37</v>
      </c>
      <c r="C29" s="40" t="s">
        <v>37</v>
      </c>
      <c r="D29" s="40" t="s">
        <v>38</v>
      </c>
      <c r="E29" s="40" t="s">
        <v>38</v>
      </c>
      <c r="F29" s="41" t="s">
        <v>38</v>
      </c>
      <c r="H29" s="35"/>
      <c r="I29" s="43" t="s">
        <v>49</v>
      </c>
      <c r="J29" s="43" t="s">
        <v>62</v>
      </c>
      <c r="K29" s="43" t="s">
        <v>51</v>
      </c>
      <c r="L29" s="43" t="s">
        <v>63</v>
      </c>
      <c r="M29" s="43" t="s">
        <v>64</v>
      </c>
      <c r="N29" s="46" t="s">
        <v>45</v>
      </c>
    </row>
    <row r="30" spans="1:22" x14ac:dyDescent="0.25">
      <c r="A30" s="31" t="s">
        <v>27</v>
      </c>
      <c r="B30" s="29">
        <v>3820</v>
      </c>
      <c r="C30" s="29">
        <v>2737</v>
      </c>
      <c r="D30" s="29">
        <v>10365</v>
      </c>
      <c r="E30" s="29">
        <v>10186</v>
      </c>
      <c r="F30" s="34">
        <v>10302</v>
      </c>
      <c r="H30" s="175" t="s">
        <v>0</v>
      </c>
      <c r="I30" s="187">
        <v>6.3E-3</v>
      </c>
      <c r="J30" s="187">
        <v>8.3699999999999997E-2</v>
      </c>
      <c r="K30" s="187">
        <v>3.1600000000000003E-2</v>
      </c>
      <c r="L30" s="187">
        <v>2.7900000000000001E-2</v>
      </c>
      <c r="M30" s="187">
        <v>0.1003</v>
      </c>
      <c r="N30" s="188">
        <v>6.6199999999999995E-2</v>
      </c>
    </row>
    <row r="31" spans="1:22" x14ac:dyDescent="0.25">
      <c r="A31" s="31" t="s">
        <v>28</v>
      </c>
      <c r="B31" s="29">
        <v>3755</v>
      </c>
      <c r="C31" s="29">
        <v>2724</v>
      </c>
      <c r="D31" s="29">
        <v>10433</v>
      </c>
      <c r="E31" s="29">
        <v>10270</v>
      </c>
      <c r="F31" s="34">
        <v>10423</v>
      </c>
      <c r="H31" s="31" t="s">
        <v>35</v>
      </c>
      <c r="I31" s="27"/>
      <c r="J31" s="27"/>
      <c r="K31" s="27"/>
      <c r="L31" s="27"/>
      <c r="M31" s="27"/>
      <c r="N31" s="32"/>
    </row>
    <row r="32" spans="1:22" x14ac:dyDescent="0.25">
      <c r="A32" s="31" t="s">
        <v>29</v>
      </c>
      <c r="B32" s="29">
        <v>3752</v>
      </c>
      <c r="C32" s="29">
        <v>2717</v>
      </c>
      <c r="D32" s="29">
        <v>10436</v>
      </c>
      <c r="E32" s="29">
        <v>10050</v>
      </c>
      <c r="F32" s="34">
        <v>9942</v>
      </c>
      <c r="H32" s="31" t="s">
        <v>34</v>
      </c>
      <c r="I32" s="38">
        <v>7.1999999999999998E-3</v>
      </c>
      <c r="J32" s="38">
        <v>8.2900000000000001E-2</v>
      </c>
      <c r="K32" s="38">
        <v>4.5999999999999999E-2</v>
      </c>
      <c r="L32" s="38">
        <v>2.5100000000000001E-2</v>
      </c>
      <c r="M32" s="38">
        <v>0.1101</v>
      </c>
      <c r="N32" s="49">
        <v>6.2700000000000006E-2</v>
      </c>
    </row>
    <row r="33" spans="1:17" x14ac:dyDescent="0.25">
      <c r="A33" s="31" t="s">
        <v>30</v>
      </c>
      <c r="B33" s="29">
        <v>3730</v>
      </c>
      <c r="C33" s="29">
        <v>2733</v>
      </c>
      <c r="D33" s="29">
        <v>10452</v>
      </c>
      <c r="E33" s="29">
        <v>10084</v>
      </c>
      <c r="F33" s="34">
        <v>10360</v>
      </c>
      <c r="H33" s="31" t="s">
        <v>33</v>
      </c>
      <c r="I33" s="38">
        <v>6.3E-3</v>
      </c>
      <c r="J33" s="38">
        <v>8.3599999999999994E-2</v>
      </c>
      <c r="K33" s="38">
        <v>0.04</v>
      </c>
      <c r="L33" s="38">
        <v>2.46E-2</v>
      </c>
      <c r="M33" s="38">
        <v>0.12889999999999999</v>
      </c>
      <c r="N33" s="49">
        <v>6.3399999999999998E-2</v>
      </c>
    </row>
    <row r="34" spans="1:17" x14ac:dyDescent="0.25">
      <c r="A34" s="31" t="s">
        <v>31</v>
      </c>
      <c r="B34" s="29">
        <v>3626</v>
      </c>
      <c r="C34" s="29">
        <v>2707</v>
      </c>
      <c r="D34" s="29">
        <v>10355</v>
      </c>
      <c r="E34" s="29">
        <v>10070</v>
      </c>
      <c r="F34" s="34">
        <v>10372</v>
      </c>
      <c r="H34" s="31" t="s">
        <v>32</v>
      </c>
      <c r="I34" s="38">
        <v>8.0999999999999996E-3</v>
      </c>
      <c r="J34" s="38">
        <v>8.2600000000000007E-2</v>
      </c>
      <c r="K34" s="38">
        <v>3.1899999999999998E-2</v>
      </c>
      <c r="L34" s="38">
        <v>2.7900000000000001E-2</v>
      </c>
      <c r="M34" s="38">
        <v>0.14069999999999999</v>
      </c>
      <c r="N34" s="49">
        <v>6.4000000000000001E-2</v>
      </c>
    </row>
    <row r="35" spans="1:17" x14ac:dyDescent="0.25">
      <c r="A35" s="31" t="s">
        <v>32</v>
      </c>
      <c r="B35" s="29">
        <v>3580</v>
      </c>
      <c r="C35" s="29">
        <v>2689</v>
      </c>
      <c r="D35" s="29">
        <v>10359</v>
      </c>
      <c r="E35" s="29">
        <v>9810</v>
      </c>
      <c r="F35" s="34">
        <v>10362</v>
      </c>
      <c r="H35" s="31" t="s">
        <v>31</v>
      </c>
      <c r="I35" s="38">
        <v>7.4000000000000003E-3</v>
      </c>
      <c r="J35" s="38">
        <v>8.2699999999999996E-2</v>
      </c>
      <c r="K35" s="38">
        <v>3.0499999999999999E-2</v>
      </c>
      <c r="L35" s="38">
        <v>2.7199999999999998E-2</v>
      </c>
      <c r="M35" s="38">
        <v>0.13869999999999999</v>
      </c>
      <c r="N35" s="49">
        <v>6.3E-2</v>
      </c>
    </row>
    <row r="36" spans="1:17" ht="16.5" thickBot="1" x14ac:dyDescent="0.3">
      <c r="A36" s="31" t="s">
        <v>33</v>
      </c>
      <c r="B36" s="29">
        <v>3670</v>
      </c>
      <c r="C36" s="29">
        <v>2719</v>
      </c>
      <c r="D36" s="29">
        <v>20274</v>
      </c>
      <c r="E36" s="29">
        <v>9787</v>
      </c>
      <c r="F36" s="34">
        <v>10353</v>
      </c>
      <c r="H36" s="35" t="s">
        <v>30</v>
      </c>
      <c r="I36" s="42">
        <v>7.4000000000000003E-3</v>
      </c>
      <c r="J36" s="42">
        <v>8.3699999999999997E-2</v>
      </c>
      <c r="K36" s="42">
        <v>3.2800000000000003E-2</v>
      </c>
      <c r="L36" s="42">
        <v>2.5100000000000001E-2</v>
      </c>
      <c r="M36" s="42">
        <v>0.1273</v>
      </c>
      <c r="N36" s="44">
        <v>6.5000000000000002E-2</v>
      </c>
    </row>
    <row r="37" spans="1:17" x14ac:dyDescent="0.25">
      <c r="A37" s="31" t="s">
        <v>34</v>
      </c>
      <c r="B37" s="29">
        <v>3603</v>
      </c>
      <c r="C37" s="29">
        <v>2729</v>
      </c>
      <c r="D37" s="29">
        <v>10156</v>
      </c>
      <c r="E37" s="29">
        <v>9786</v>
      </c>
      <c r="F37" s="34">
        <v>10327</v>
      </c>
    </row>
    <row r="38" spans="1:17" ht="16.5" thickBot="1" x14ac:dyDescent="0.3">
      <c r="A38" s="31" t="s">
        <v>35</v>
      </c>
      <c r="B38" s="29">
        <v>3606</v>
      </c>
      <c r="C38" s="29">
        <v>2714</v>
      </c>
      <c r="D38" s="29">
        <v>10280</v>
      </c>
      <c r="E38" s="29">
        <v>9974</v>
      </c>
      <c r="F38" s="34">
        <v>10417</v>
      </c>
    </row>
    <row r="39" spans="1:17" ht="16.5" thickBot="1" x14ac:dyDescent="0.3">
      <c r="A39" s="50" t="s">
        <v>0</v>
      </c>
      <c r="B39" s="51">
        <v>3589</v>
      </c>
      <c r="C39" s="51">
        <v>2731</v>
      </c>
      <c r="D39" s="45">
        <v>10241</v>
      </c>
      <c r="E39" s="45">
        <v>9981</v>
      </c>
      <c r="F39" s="53">
        <v>10391</v>
      </c>
      <c r="H39" s="30" t="s">
        <v>41</v>
      </c>
      <c r="I39" s="40"/>
      <c r="J39" s="40"/>
      <c r="K39" s="40"/>
      <c r="L39" s="40"/>
      <c r="M39" s="40"/>
      <c r="N39" s="40"/>
      <c r="O39" s="40"/>
      <c r="P39" s="40"/>
      <c r="Q39" s="41"/>
    </row>
    <row r="40" spans="1:17" ht="16.5" thickBot="1" x14ac:dyDescent="0.3">
      <c r="A40" s="39" t="s">
        <v>39</v>
      </c>
      <c r="B40" s="40"/>
      <c r="C40" s="41"/>
      <c r="H40" s="35"/>
      <c r="I40" s="43" t="s">
        <v>40</v>
      </c>
      <c r="J40" s="43" t="s">
        <v>42</v>
      </c>
      <c r="K40" s="43" t="s">
        <v>43</v>
      </c>
      <c r="L40" s="43" t="s">
        <v>44</v>
      </c>
      <c r="M40" s="43" t="s">
        <v>45</v>
      </c>
      <c r="N40" s="43" t="s">
        <v>46</v>
      </c>
      <c r="O40" s="43" t="s">
        <v>47</v>
      </c>
      <c r="P40" s="43" t="s">
        <v>48</v>
      </c>
      <c r="Q40" s="46"/>
    </row>
    <row r="41" spans="1:17" x14ac:dyDescent="0.25">
      <c r="A41" s="31" t="s">
        <v>27</v>
      </c>
      <c r="B41" s="29">
        <v>0.7</v>
      </c>
      <c r="C41" s="34">
        <v>1.1000000000000001</v>
      </c>
      <c r="D41" s="18"/>
      <c r="E41" s="18"/>
      <c r="F41" s="18"/>
      <c r="H41" s="175" t="s">
        <v>0</v>
      </c>
      <c r="I41" s="179">
        <v>515976</v>
      </c>
      <c r="J41" s="179">
        <v>373049</v>
      </c>
      <c r="K41" s="179">
        <v>28382</v>
      </c>
      <c r="L41" s="179">
        <v>63170</v>
      </c>
      <c r="M41" s="179">
        <f>SUM(J41:L41)</f>
        <v>464601</v>
      </c>
      <c r="N41" s="179">
        <v>454581</v>
      </c>
      <c r="O41" s="189">
        <f>N41/M41</f>
        <v>0.97843310711772036</v>
      </c>
      <c r="P41" s="189">
        <f>N41/I41</f>
        <v>0.88101190753058278</v>
      </c>
      <c r="Q41" s="177"/>
    </row>
    <row r="42" spans="1:17" x14ac:dyDescent="0.25">
      <c r="A42" s="31" t="s">
        <v>28</v>
      </c>
      <c r="B42" s="29">
        <v>0.69</v>
      </c>
      <c r="C42" s="34">
        <v>1.1299999999999999</v>
      </c>
      <c r="D42" s="18"/>
      <c r="E42" s="18"/>
      <c r="F42" s="18"/>
      <c r="H42" s="31" t="s">
        <v>35</v>
      </c>
      <c r="I42" s="29"/>
      <c r="J42" s="29"/>
      <c r="K42" s="29"/>
      <c r="L42" s="29"/>
      <c r="M42" s="29"/>
      <c r="N42" s="29"/>
      <c r="O42" s="38"/>
      <c r="P42" s="38"/>
      <c r="Q42" s="32"/>
    </row>
    <row r="43" spans="1:17" x14ac:dyDescent="0.25">
      <c r="A43" s="31" t="s">
        <v>29</v>
      </c>
      <c r="B43" s="29">
        <v>0.7</v>
      </c>
      <c r="C43" s="34">
        <v>1.1200000000000001</v>
      </c>
      <c r="D43" s="18"/>
      <c r="E43" s="18"/>
      <c r="F43" s="18"/>
      <c r="H43" s="31" t="s">
        <v>34</v>
      </c>
      <c r="I43" s="29">
        <v>417819</v>
      </c>
      <c r="J43" s="29">
        <v>328662</v>
      </c>
      <c r="K43" s="29">
        <v>21372</v>
      </c>
      <c r="L43" s="29">
        <v>30462</v>
      </c>
      <c r="M43" s="29">
        <f>SUM(J43:L43)</f>
        <v>380496</v>
      </c>
      <c r="N43" s="29">
        <v>378039</v>
      </c>
      <c r="O43" s="54">
        <f>N43/M43</f>
        <v>0.99354263908161977</v>
      </c>
      <c r="P43" s="54">
        <f>N43/I43</f>
        <v>0.90479130915539985</v>
      </c>
      <c r="Q43" s="32"/>
    </row>
    <row r="44" spans="1:17" x14ac:dyDescent="0.25">
      <c r="A44" s="31" t="s">
        <v>30</v>
      </c>
      <c r="B44" s="29">
        <v>0.71</v>
      </c>
      <c r="C44" s="34">
        <v>1.1100000000000001</v>
      </c>
      <c r="D44" s="18"/>
      <c r="E44" s="18"/>
      <c r="F44" s="18"/>
      <c r="H44" s="31" t="s">
        <v>33</v>
      </c>
      <c r="I44" s="29">
        <v>395949</v>
      </c>
      <c r="J44" s="29">
        <v>322010</v>
      </c>
      <c r="K44" s="29">
        <v>22412</v>
      </c>
      <c r="L44" s="29">
        <v>23230</v>
      </c>
      <c r="M44" s="29">
        <f>SUM(J44:L44)</f>
        <v>367652</v>
      </c>
      <c r="N44" s="29">
        <v>360245</v>
      </c>
      <c r="O44" s="54">
        <f>N44/M44</f>
        <v>0.97985323077257847</v>
      </c>
      <c r="P44" s="54">
        <f>N44/I44</f>
        <v>0.9098267706194485</v>
      </c>
      <c r="Q44" s="32"/>
    </row>
    <row r="45" spans="1:17" x14ac:dyDescent="0.25">
      <c r="A45" s="31" t="s">
        <v>31</v>
      </c>
      <c r="B45" s="29">
        <v>0.72</v>
      </c>
      <c r="C45" s="34">
        <v>1.1100000000000001</v>
      </c>
      <c r="D45" s="18"/>
      <c r="E45" s="18"/>
      <c r="F45" s="18"/>
      <c r="H45" s="31" t="s">
        <v>32</v>
      </c>
      <c r="I45" s="29">
        <v>394901</v>
      </c>
      <c r="J45" s="29"/>
      <c r="K45" s="29"/>
      <c r="L45" s="29">
        <v>16054</v>
      </c>
      <c r="M45" s="29">
        <v>351618</v>
      </c>
      <c r="N45" s="29">
        <v>348320</v>
      </c>
      <c r="O45" s="54">
        <f>N45/M45</f>
        <v>0.99062050293215931</v>
      </c>
      <c r="P45" s="54">
        <f>N45/I45</f>
        <v>0.88204385402923768</v>
      </c>
      <c r="Q45" s="32"/>
    </row>
    <row r="46" spans="1:17" x14ac:dyDescent="0.25">
      <c r="A46" s="31" t="s">
        <v>32</v>
      </c>
      <c r="B46" s="29">
        <v>0.72</v>
      </c>
      <c r="C46" s="34">
        <v>1.1299999999999999</v>
      </c>
      <c r="D46" s="18"/>
      <c r="E46" s="18"/>
      <c r="F46" s="18"/>
      <c r="H46" s="31" t="s">
        <v>31</v>
      </c>
      <c r="I46" s="29">
        <v>369735</v>
      </c>
      <c r="J46" s="29"/>
      <c r="K46" s="29"/>
      <c r="L46" s="29">
        <v>10153</v>
      </c>
      <c r="M46" s="29">
        <v>323519</v>
      </c>
      <c r="N46" s="29">
        <v>324467</v>
      </c>
      <c r="O46" s="190">
        <f>N46/M46</f>
        <v>1.0029302761197951</v>
      </c>
      <c r="P46" s="54">
        <f>N46/I46</f>
        <v>0.87756636509932795</v>
      </c>
      <c r="Q46" s="32"/>
    </row>
    <row r="47" spans="1:17" ht="16.5" thickBot="1" x14ac:dyDescent="0.3">
      <c r="A47" s="31" t="s">
        <v>33</v>
      </c>
      <c r="B47" s="29">
        <v>0.7</v>
      </c>
      <c r="C47" s="34">
        <v>1.0900000000000001</v>
      </c>
      <c r="D47" s="18"/>
      <c r="E47" s="18"/>
      <c r="F47" s="18"/>
      <c r="H47" s="35" t="s">
        <v>30</v>
      </c>
      <c r="I47" s="45">
        <v>335631</v>
      </c>
      <c r="J47" s="45"/>
      <c r="K47" s="45"/>
      <c r="L47" s="45">
        <v>7300</v>
      </c>
      <c r="M47" s="45">
        <v>300937</v>
      </c>
      <c r="N47" s="45">
        <v>300352</v>
      </c>
      <c r="O47" s="55">
        <f>N47/M47</f>
        <v>0.9980560715365675</v>
      </c>
      <c r="P47" s="55">
        <f>N47/I47</f>
        <v>0.89488754018550132</v>
      </c>
      <c r="Q47" s="46"/>
    </row>
    <row r="48" spans="1:17" x14ac:dyDescent="0.25">
      <c r="A48" s="31" t="s">
        <v>34</v>
      </c>
      <c r="B48" s="29">
        <v>0.7</v>
      </c>
      <c r="C48" s="34">
        <v>1.1200000000000001</v>
      </c>
      <c r="D48" s="18"/>
      <c r="E48" s="18"/>
      <c r="F48" s="18"/>
    </row>
    <row r="49" spans="1:9" x14ac:dyDescent="0.25">
      <c r="A49" s="31" t="s">
        <v>35</v>
      </c>
      <c r="B49" s="29">
        <v>0.71</v>
      </c>
      <c r="C49" s="34">
        <v>1.1200000000000001</v>
      </c>
      <c r="D49" s="18"/>
      <c r="E49" s="18"/>
      <c r="F49" s="18"/>
    </row>
    <row r="50" spans="1:9" ht="16.5" thickBot="1" x14ac:dyDescent="0.3">
      <c r="A50" s="35" t="s">
        <v>0</v>
      </c>
      <c r="B50" s="45">
        <v>0.71</v>
      </c>
      <c r="C50" s="53">
        <v>1.1100000000000001</v>
      </c>
      <c r="D50" s="18"/>
      <c r="E50" s="18"/>
      <c r="F50" s="18"/>
    </row>
    <row r="51" spans="1:9" x14ac:dyDescent="0.25">
      <c r="D51" s="18"/>
      <c r="E51" s="18"/>
      <c r="F51" s="18"/>
    </row>
    <row r="52" spans="1:9" x14ac:dyDescent="0.25">
      <c r="I52" s="11"/>
    </row>
  </sheetData>
  <mergeCells count="3">
    <mergeCell ref="B8:H8"/>
    <mergeCell ref="I8:L8"/>
    <mergeCell ref="M8:O8"/>
  </mergeCells>
  <pageMargins left="0.7" right="0.7" top="0.75" bottom="0.75" header="0.3" footer="0.3"/>
  <pageSetup paperSize="9" orientation="portrait" verticalDpi="0"/>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9"/>
  <sheetViews>
    <sheetView zoomScale="85" zoomScaleNormal="85" workbookViewId="0">
      <selection activeCell="G18" sqref="G18"/>
    </sheetView>
  </sheetViews>
  <sheetFormatPr defaultColWidth="8.85546875" defaultRowHeight="15.75" x14ac:dyDescent="0.25"/>
  <cols>
    <col min="1" max="1" width="32.7109375" style="2" bestFit="1" customWidth="1"/>
    <col min="2" max="2" width="12.140625" style="2" bestFit="1" customWidth="1"/>
    <col min="3" max="3" width="10.85546875" style="2" bestFit="1" customWidth="1"/>
    <col min="4" max="4" width="12" style="2" customWidth="1"/>
    <col min="5" max="5" width="15.140625" style="2" customWidth="1"/>
    <col min="6" max="6" width="8.85546875" style="2"/>
    <col min="7" max="7" width="22.85546875" style="2" customWidth="1"/>
    <col min="8" max="9" width="8.85546875" style="2"/>
    <col min="10" max="10" width="57.28515625" style="2" bestFit="1" customWidth="1"/>
    <col min="11" max="16384" width="8.85546875" style="2"/>
  </cols>
  <sheetData>
    <row r="1" spans="1:14" x14ac:dyDescent="0.25">
      <c r="A1" s="237" t="s">
        <v>131</v>
      </c>
      <c r="B1" s="238"/>
      <c r="C1" s="238"/>
      <c r="D1" s="239" t="s">
        <v>132</v>
      </c>
      <c r="E1" s="240"/>
      <c r="F1" s="11"/>
      <c r="G1" s="65" t="s">
        <v>88</v>
      </c>
      <c r="H1" s="40"/>
      <c r="I1" s="40"/>
      <c r="J1" s="41"/>
    </row>
    <row r="2" spans="1:14" x14ac:dyDescent="0.25">
      <c r="A2" s="31"/>
      <c r="B2" s="27" t="s">
        <v>67</v>
      </c>
      <c r="C2" s="27" t="s">
        <v>87</v>
      </c>
      <c r="D2" s="27" t="s">
        <v>134</v>
      </c>
      <c r="E2" s="191" t="s">
        <v>177</v>
      </c>
      <c r="F2" s="11"/>
      <c r="G2" s="66" t="s">
        <v>89</v>
      </c>
      <c r="H2" s="26" t="s">
        <v>90</v>
      </c>
      <c r="I2" s="64" t="s">
        <v>91</v>
      </c>
      <c r="J2" s="67" t="s">
        <v>92</v>
      </c>
      <c r="L2" s="2" t="s">
        <v>85</v>
      </c>
      <c r="M2" s="2">
        <v>1.16222E-3</v>
      </c>
      <c r="N2" s="2" t="s">
        <v>84</v>
      </c>
    </row>
    <row r="3" spans="1:14" x14ac:dyDescent="0.25">
      <c r="A3" s="31" t="s">
        <v>68</v>
      </c>
      <c r="B3" s="29">
        <v>93.61</v>
      </c>
      <c r="C3" s="29">
        <v>24.18</v>
      </c>
      <c r="D3" s="29">
        <v>1</v>
      </c>
      <c r="E3" s="34">
        <v>1.4</v>
      </c>
      <c r="F3" s="11"/>
      <c r="G3" s="58" t="s">
        <v>75</v>
      </c>
      <c r="H3" s="29">
        <v>1.8440000000000001</v>
      </c>
      <c r="I3" s="27" t="s">
        <v>93</v>
      </c>
      <c r="J3" s="235" t="s">
        <v>94</v>
      </c>
      <c r="L3" s="2" t="s">
        <v>102</v>
      </c>
      <c r="M3" s="2">
        <v>3600</v>
      </c>
      <c r="N3" s="2" t="s">
        <v>103</v>
      </c>
    </row>
    <row r="4" spans="1:14" x14ac:dyDescent="0.25">
      <c r="A4" s="31" t="s">
        <v>69</v>
      </c>
      <c r="B4" s="29">
        <v>95.81</v>
      </c>
      <c r="C4" s="29">
        <v>19.63</v>
      </c>
      <c r="D4" s="29">
        <v>1</v>
      </c>
      <c r="E4" s="34">
        <v>1.4</v>
      </c>
      <c r="F4" s="11"/>
      <c r="G4" s="58" t="s">
        <v>128</v>
      </c>
      <c r="H4" s="29">
        <v>1.411</v>
      </c>
      <c r="I4" s="27" t="s">
        <v>93</v>
      </c>
      <c r="J4" s="235"/>
      <c r="K4" s="62"/>
    </row>
    <row r="5" spans="1:14" x14ac:dyDescent="0.25">
      <c r="A5" s="31" t="s">
        <v>70</v>
      </c>
      <c r="B5" s="29">
        <v>106.15</v>
      </c>
      <c r="C5" s="29">
        <v>9.69</v>
      </c>
      <c r="D5" s="29">
        <v>1</v>
      </c>
      <c r="E5" s="34">
        <v>1.4</v>
      </c>
      <c r="F5" s="11"/>
      <c r="G5" s="58" t="s">
        <v>130</v>
      </c>
      <c r="H5" s="29">
        <v>1.21</v>
      </c>
      <c r="I5" s="27" t="s">
        <v>93</v>
      </c>
      <c r="J5" s="235"/>
      <c r="K5" s="236"/>
    </row>
    <row r="6" spans="1:14" x14ac:dyDescent="0.25">
      <c r="A6" s="31" t="s">
        <v>135</v>
      </c>
      <c r="B6" s="29">
        <v>74.099999999999994</v>
      </c>
      <c r="C6" s="29">
        <v>43</v>
      </c>
      <c r="D6" s="29">
        <v>3</v>
      </c>
      <c r="E6" s="34">
        <v>0.6</v>
      </c>
      <c r="F6" s="11"/>
      <c r="G6" s="58" t="s">
        <v>95</v>
      </c>
      <c r="H6" s="29">
        <v>1.2849999999999999</v>
      </c>
      <c r="I6" s="27" t="s">
        <v>93</v>
      </c>
      <c r="J6" s="235"/>
      <c r="K6" s="236"/>
    </row>
    <row r="7" spans="1:14" x14ac:dyDescent="0.25">
      <c r="A7" s="31" t="s">
        <v>71</v>
      </c>
      <c r="B7" s="29">
        <v>112</v>
      </c>
      <c r="C7" s="29">
        <v>44.3</v>
      </c>
      <c r="D7" s="29">
        <v>200</v>
      </c>
      <c r="E7" s="34">
        <v>4</v>
      </c>
      <c r="F7" s="11"/>
      <c r="G7" s="58" t="s">
        <v>77</v>
      </c>
      <c r="H7" s="29">
        <v>1.288</v>
      </c>
      <c r="I7" s="27" t="s">
        <v>93</v>
      </c>
      <c r="J7" s="235"/>
      <c r="K7" s="236"/>
    </row>
    <row r="8" spans="1:14" x14ac:dyDescent="0.25">
      <c r="A8" s="31" t="s">
        <v>72</v>
      </c>
      <c r="B8" s="29">
        <v>71.900000000000006</v>
      </c>
      <c r="C8" s="29">
        <v>43.8</v>
      </c>
      <c r="D8" s="29">
        <v>3</v>
      </c>
      <c r="E8" s="34">
        <v>0.6</v>
      </c>
      <c r="F8" s="11"/>
      <c r="G8" s="58" t="s">
        <v>96</v>
      </c>
      <c r="H8" s="29">
        <v>1.0720000000000001</v>
      </c>
      <c r="I8" s="27" t="s">
        <v>93</v>
      </c>
      <c r="J8" s="235"/>
      <c r="K8" s="62"/>
      <c r="L8" s="8"/>
    </row>
    <row r="9" spans="1:14" x14ac:dyDescent="0.25">
      <c r="A9" s="31" t="s">
        <v>73</v>
      </c>
      <c r="B9" s="29">
        <v>77.400000000000006</v>
      </c>
      <c r="C9" s="29">
        <v>40.4</v>
      </c>
      <c r="D9" s="29">
        <v>3</v>
      </c>
      <c r="E9" s="34">
        <v>0.6</v>
      </c>
      <c r="F9" s="11"/>
      <c r="G9" s="58" t="s">
        <v>129</v>
      </c>
      <c r="H9" s="29">
        <v>1.0424</v>
      </c>
      <c r="I9" s="27" t="s">
        <v>93</v>
      </c>
      <c r="J9" s="235"/>
      <c r="K9" s="62"/>
    </row>
    <row r="10" spans="1:14" x14ac:dyDescent="0.25">
      <c r="A10" s="31" t="s">
        <v>115</v>
      </c>
      <c r="B10" s="29">
        <v>74.099999999999994</v>
      </c>
      <c r="C10" s="29">
        <v>43</v>
      </c>
      <c r="D10" s="29">
        <v>3</v>
      </c>
      <c r="E10" s="34">
        <v>0.6</v>
      </c>
      <c r="F10" s="11"/>
      <c r="G10" s="58" t="s">
        <v>97</v>
      </c>
      <c r="H10" s="29">
        <v>1.17</v>
      </c>
      <c r="I10" s="27" t="s">
        <v>93</v>
      </c>
      <c r="J10" s="235"/>
      <c r="K10" s="63"/>
    </row>
    <row r="11" spans="1:14" ht="16.5" thickBot="1" x14ac:dyDescent="0.3">
      <c r="A11" s="31" t="s">
        <v>74</v>
      </c>
      <c r="B11" s="29">
        <v>56.1</v>
      </c>
      <c r="C11" s="29">
        <v>48</v>
      </c>
      <c r="D11" s="29">
        <v>1</v>
      </c>
      <c r="E11" s="34">
        <v>0.1</v>
      </c>
      <c r="F11" s="11"/>
      <c r="G11" s="59" t="s">
        <v>98</v>
      </c>
      <c r="H11" s="60">
        <v>0.76</v>
      </c>
      <c r="I11" s="43" t="s">
        <v>99</v>
      </c>
      <c r="J11" s="68" t="s">
        <v>100</v>
      </c>
    </row>
    <row r="12" spans="1:14" x14ac:dyDescent="0.25">
      <c r="A12" s="31" t="s">
        <v>75</v>
      </c>
      <c r="B12" s="29">
        <v>63.1</v>
      </c>
      <c r="C12" s="29">
        <v>47.3</v>
      </c>
      <c r="D12" s="29">
        <v>3</v>
      </c>
      <c r="E12" s="34">
        <v>0.6</v>
      </c>
      <c r="F12" s="11"/>
    </row>
    <row r="13" spans="1:14" x14ac:dyDescent="0.25">
      <c r="A13" s="31" t="s">
        <v>76</v>
      </c>
      <c r="B13" s="29">
        <v>73.3</v>
      </c>
      <c r="C13" s="29">
        <v>40.200000000000003</v>
      </c>
      <c r="D13" s="29">
        <v>3</v>
      </c>
      <c r="E13" s="34">
        <v>0.6</v>
      </c>
      <c r="F13" s="11"/>
    </row>
    <row r="14" spans="1:14" x14ac:dyDescent="0.25">
      <c r="A14" s="31" t="s">
        <v>77</v>
      </c>
      <c r="B14" s="29">
        <v>71.5</v>
      </c>
      <c r="C14" s="29">
        <v>44.1</v>
      </c>
      <c r="D14" s="29">
        <v>3</v>
      </c>
      <c r="E14" s="34">
        <v>0.6</v>
      </c>
      <c r="F14" s="11"/>
      <c r="K14" s="9"/>
    </row>
    <row r="15" spans="1:14" x14ac:dyDescent="0.25">
      <c r="A15" s="58" t="s">
        <v>78</v>
      </c>
      <c r="B15" s="57">
        <f>B13</f>
        <v>73.3</v>
      </c>
      <c r="C15" s="29">
        <f>C13</f>
        <v>40.200000000000003</v>
      </c>
      <c r="D15" s="29">
        <v>3</v>
      </c>
      <c r="E15" s="34">
        <v>0.6</v>
      </c>
      <c r="F15" s="11"/>
    </row>
    <row r="16" spans="1:14" ht="16.5" thickBot="1" x14ac:dyDescent="0.3">
      <c r="A16" s="59" t="s">
        <v>133</v>
      </c>
      <c r="B16" s="60">
        <v>0</v>
      </c>
      <c r="C16" s="60">
        <v>0</v>
      </c>
      <c r="D16" s="61">
        <v>30</v>
      </c>
      <c r="E16" s="53">
        <v>4</v>
      </c>
      <c r="F16" s="11"/>
    </row>
    <row r="17" spans="1:7" x14ac:dyDescent="0.25">
      <c r="A17" s="10"/>
      <c r="B17" s="11"/>
      <c r="C17" s="11"/>
    </row>
    <row r="18" spans="1:7" x14ac:dyDescent="0.25">
      <c r="A18" s="11"/>
      <c r="B18" s="11"/>
      <c r="C18" s="11"/>
    </row>
    <row r="19" spans="1:7" x14ac:dyDescent="0.25">
      <c r="A19" s="12"/>
      <c r="B19" s="11"/>
      <c r="C19" s="11"/>
      <c r="D19" s="11"/>
      <c r="E19" s="11"/>
      <c r="F19" s="11"/>
      <c r="G19" s="11"/>
    </row>
    <row r="20" spans="1:7" ht="16.5" thickBot="1" x14ac:dyDescent="0.3">
      <c r="A20" s="11"/>
      <c r="B20" s="11"/>
      <c r="C20" s="11"/>
      <c r="D20" s="11"/>
      <c r="E20" s="11"/>
      <c r="F20" s="11"/>
      <c r="G20" s="13"/>
    </row>
    <row r="21" spans="1:7" x14ac:dyDescent="0.25">
      <c r="A21" s="39"/>
      <c r="B21" s="70" t="s">
        <v>167</v>
      </c>
      <c r="C21" s="71" t="s">
        <v>168</v>
      </c>
      <c r="D21" s="11"/>
      <c r="E21" s="11"/>
      <c r="F21" s="11"/>
      <c r="G21" s="11"/>
    </row>
    <row r="22" spans="1:7" x14ac:dyDescent="0.25">
      <c r="A22" s="72" t="s">
        <v>169</v>
      </c>
      <c r="B22" s="69">
        <v>21</v>
      </c>
      <c r="C22" s="73">
        <v>5</v>
      </c>
      <c r="D22" s="11"/>
      <c r="E22" s="11"/>
      <c r="F22" s="11"/>
      <c r="G22" s="11"/>
    </row>
    <row r="23" spans="1:7" ht="16.5" thickBot="1" x14ac:dyDescent="0.3">
      <c r="A23" s="74" t="s">
        <v>170</v>
      </c>
      <c r="B23" s="75">
        <v>310</v>
      </c>
      <c r="C23" s="76">
        <v>270</v>
      </c>
      <c r="D23" s="11"/>
      <c r="E23" s="11"/>
      <c r="F23" s="11"/>
      <c r="G23" s="11"/>
    </row>
    <row r="24" spans="1:7" x14ac:dyDescent="0.25">
      <c r="A24" s="11"/>
      <c r="B24" s="11"/>
      <c r="C24" s="11"/>
      <c r="D24" s="11"/>
      <c r="E24" s="11"/>
      <c r="F24" s="11"/>
      <c r="G24" s="11"/>
    </row>
    <row r="25" spans="1:7" x14ac:dyDescent="0.25">
      <c r="A25" s="2" t="s">
        <v>175</v>
      </c>
      <c r="B25" s="19">
        <v>2.38845897E-2</v>
      </c>
      <c r="C25" s="2" t="s">
        <v>176</v>
      </c>
      <c r="D25" s="11"/>
      <c r="E25" s="11"/>
      <c r="F25" s="11"/>
      <c r="G25" s="11"/>
    </row>
    <row r="26" spans="1:7" x14ac:dyDescent="0.25">
      <c r="A26" s="14"/>
      <c r="B26" s="11"/>
      <c r="C26" s="11"/>
      <c r="D26" s="11"/>
      <c r="E26" s="11"/>
      <c r="F26" s="11"/>
      <c r="G26" s="11"/>
    </row>
    <row r="27" spans="1:7" x14ac:dyDescent="0.25">
      <c r="A27" s="11"/>
      <c r="B27" s="11"/>
      <c r="C27" s="11"/>
      <c r="D27" s="11"/>
      <c r="E27" s="11"/>
      <c r="F27" s="11"/>
      <c r="G27" s="11"/>
    </row>
    <row r="28" spans="1:7" x14ac:dyDescent="0.25">
      <c r="A28" s="11"/>
      <c r="B28" s="11"/>
      <c r="C28" s="11"/>
      <c r="D28" s="11"/>
      <c r="E28" s="11"/>
      <c r="F28" s="11"/>
      <c r="G28" s="11"/>
    </row>
    <row r="29" spans="1:7" x14ac:dyDescent="0.25">
      <c r="A29" s="11"/>
      <c r="B29" s="11"/>
      <c r="C29" s="11"/>
      <c r="D29" s="11"/>
      <c r="E29" s="11"/>
      <c r="F29" s="11"/>
      <c r="G29" s="11"/>
    </row>
  </sheetData>
  <mergeCells count="4">
    <mergeCell ref="J3:J10"/>
    <mergeCell ref="K5:K7"/>
    <mergeCell ref="A1:C1"/>
    <mergeCell ref="D1:E1"/>
  </mergeCells>
  <hyperlinks>
    <hyperlink ref="J3" r:id="rId1" xr:uid="{00000000-0004-0000-0500-000000000000}"/>
    <hyperlink ref="J11" r:id="rId2" xr:uid="{00000000-0004-0000-0500-000001000000}"/>
  </hyperlinks>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H78"/>
  <sheetViews>
    <sheetView topLeftCell="Q13" zoomScale="90" zoomScaleNormal="90" zoomScalePageLayoutView="90" workbookViewId="0">
      <selection activeCell="AB20" sqref="AB20"/>
    </sheetView>
  </sheetViews>
  <sheetFormatPr defaultColWidth="8.85546875" defaultRowHeight="15.75" x14ac:dyDescent="0.25"/>
  <cols>
    <col min="1" max="1" width="30.28515625" style="2" customWidth="1"/>
    <col min="2" max="2" width="16" style="2" customWidth="1"/>
    <col min="3" max="3" width="19.42578125" style="2" customWidth="1"/>
    <col min="4" max="4" width="23.140625" style="2" customWidth="1"/>
    <col min="5" max="7" width="12" style="2" bestFit="1" customWidth="1"/>
    <col min="8" max="8" width="16.28515625" style="2" bestFit="1" customWidth="1"/>
    <col min="9" max="9" width="11.85546875" style="2" bestFit="1" customWidth="1"/>
    <col min="10" max="10" width="12" style="2" bestFit="1" customWidth="1"/>
    <col min="11" max="11" width="22.42578125" style="2" customWidth="1"/>
    <col min="12" max="12" width="12.140625" style="2" bestFit="1" customWidth="1"/>
    <col min="13" max="14" width="10.42578125" style="2" bestFit="1" customWidth="1"/>
    <col min="15" max="16" width="11.42578125" style="2" bestFit="1" customWidth="1"/>
    <col min="17" max="17" width="8.85546875" style="2"/>
    <col min="18" max="18" width="11.42578125" style="2" bestFit="1" customWidth="1"/>
    <col min="19" max="27" width="8.85546875" style="2"/>
    <col min="28" max="28" width="12" style="2" bestFit="1" customWidth="1"/>
    <col min="29" max="16384" width="8.85546875" style="2"/>
  </cols>
  <sheetData>
    <row r="2" spans="1:13" ht="16.5" thickBot="1" x14ac:dyDescent="0.3">
      <c r="A2" s="6" t="s">
        <v>79</v>
      </c>
    </row>
    <row r="3" spans="1:13" ht="16.5" thickBot="1" x14ac:dyDescent="0.3">
      <c r="A3" s="196" t="s">
        <v>81</v>
      </c>
      <c r="B3" s="182"/>
      <c r="C3" s="182"/>
      <c r="D3" s="202" t="s">
        <v>30</v>
      </c>
      <c r="E3" s="202" t="s">
        <v>31</v>
      </c>
      <c r="F3" s="202" t="s">
        <v>32</v>
      </c>
      <c r="G3" s="202" t="s">
        <v>33</v>
      </c>
      <c r="H3" s="202" t="s">
        <v>34</v>
      </c>
      <c r="I3" s="202" t="s">
        <v>35</v>
      </c>
      <c r="J3" s="203" t="s">
        <v>0</v>
      </c>
      <c r="L3" s="15"/>
      <c r="M3" s="2" t="s">
        <v>178</v>
      </c>
    </row>
    <row r="4" spans="1:13" x14ac:dyDescent="0.25">
      <c r="A4" s="175"/>
      <c r="B4" s="195" t="s">
        <v>12</v>
      </c>
      <c r="C4" s="176" t="s">
        <v>4</v>
      </c>
      <c r="D4" s="193">
        <v>305529</v>
      </c>
      <c r="E4" s="193">
        <v>327173</v>
      </c>
      <c r="F4" s="193">
        <v>351085</v>
      </c>
      <c r="G4" s="193">
        <v>362243</v>
      </c>
      <c r="H4" s="193">
        <v>380571</v>
      </c>
      <c r="I4" s="193">
        <f>(H4+J4)/2</f>
        <v>417576</v>
      </c>
      <c r="J4" s="194">
        <v>454581</v>
      </c>
      <c r="L4" s="16"/>
      <c r="M4" s="2" t="s">
        <v>179</v>
      </c>
    </row>
    <row r="5" spans="1:13" x14ac:dyDescent="0.25">
      <c r="A5" s="31"/>
      <c r="B5" s="27"/>
      <c r="C5" s="27" t="s">
        <v>25</v>
      </c>
      <c r="D5" s="77">
        <v>1101217</v>
      </c>
      <c r="E5" s="77">
        <v>1330965</v>
      </c>
      <c r="F5" s="77">
        <v>1351012</v>
      </c>
      <c r="G5" s="77">
        <v>1007110</v>
      </c>
      <c r="H5" s="77">
        <v>897316</v>
      </c>
      <c r="I5" s="77">
        <f t="shared" ref="I5:I17" si="0">(H5+J5)/2</f>
        <v>830526.5</v>
      </c>
      <c r="J5" s="78">
        <v>763737</v>
      </c>
      <c r="L5" s="17"/>
      <c r="M5" s="2" t="s">
        <v>180</v>
      </c>
    </row>
    <row r="6" spans="1:13" x14ac:dyDescent="0.25">
      <c r="A6" s="31"/>
      <c r="B6" s="27"/>
      <c r="C6" s="27" t="s">
        <v>124</v>
      </c>
      <c r="D6" s="77">
        <v>260345</v>
      </c>
      <c r="E6" s="77">
        <v>241479</v>
      </c>
      <c r="F6" s="77">
        <v>254037</v>
      </c>
      <c r="G6" s="77">
        <v>256251</v>
      </c>
      <c r="H6" s="77">
        <v>326151</v>
      </c>
      <c r="I6" s="77">
        <f t="shared" si="0"/>
        <v>277866</v>
      </c>
      <c r="J6" s="78">
        <v>229581</v>
      </c>
      <c r="L6" s="1"/>
      <c r="M6" s="2" t="s">
        <v>181</v>
      </c>
    </row>
    <row r="7" spans="1:13" x14ac:dyDescent="0.25">
      <c r="A7" s="31"/>
      <c r="B7" s="27"/>
      <c r="C7" s="27" t="s">
        <v>125</v>
      </c>
      <c r="D7" s="77">
        <v>444203</v>
      </c>
      <c r="E7" s="77">
        <v>418237</v>
      </c>
      <c r="F7" s="77">
        <v>384789</v>
      </c>
      <c r="G7" s="77">
        <v>133320</v>
      </c>
      <c r="H7" s="77">
        <v>4699</v>
      </c>
      <c r="I7" s="77">
        <f t="shared" si="0"/>
        <v>24516.5</v>
      </c>
      <c r="J7" s="78">
        <v>44334</v>
      </c>
      <c r="L7" s="18"/>
    </row>
    <row r="8" spans="1:13" x14ac:dyDescent="0.25">
      <c r="A8" s="31"/>
      <c r="B8" s="27"/>
      <c r="C8" s="27" t="s">
        <v>8</v>
      </c>
      <c r="D8" s="218" t="s">
        <v>66</v>
      </c>
      <c r="E8" s="77">
        <v>219193</v>
      </c>
      <c r="F8" s="77">
        <v>59551</v>
      </c>
      <c r="G8" s="77">
        <v>293322</v>
      </c>
      <c r="H8" s="77">
        <v>611036</v>
      </c>
      <c r="I8" s="77">
        <f t="shared" si="0"/>
        <v>399280.5</v>
      </c>
      <c r="J8" s="78">
        <v>187525</v>
      </c>
      <c r="L8" s="18"/>
    </row>
    <row r="9" spans="1:13" x14ac:dyDescent="0.25">
      <c r="A9" s="31"/>
      <c r="B9" s="27"/>
      <c r="C9" s="27" t="s">
        <v>3</v>
      </c>
      <c r="D9" s="77">
        <v>23325</v>
      </c>
      <c r="E9" s="77">
        <v>26105</v>
      </c>
      <c r="F9" s="77">
        <v>25103</v>
      </c>
      <c r="G9" s="77">
        <v>26794</v>
      </c>
      <c r="H9" s="77">
        <v>28951</v>
      </c>
      <c r="I9" s="77">
        <f t="shared" si="0"/>
        <v>30394</v>
      </c>
      <c r="J9" s="78">
        <v>31837</v>
      </c>
      <c r="L9" s="18"/>
    </row>
    <row r="10" spans="1:13" x14ac:dyDescent="0.25">
      <c r="A10" s="31"/>
      <c r="B10" s="27"/>
      <c r="C10" s="27" t="s">
        <v>11</v>
      </c>
      <c r="D10" s="77">
        <v>461794.18</v>
      </c>
      <c r="E10" s="77">
        <v>486998.16</v>
      </c>
      <c r="F10" s="77">
        <v>511895.05</v>
      </c>
      <c r="G10" s="77">
        <v>534912.03</v>
      </c>
      <c r="H10" s="77">
        <v>560197.74</v>
      </c>
      <c r="I10" s="77">
        <f t="shared" si="0"/>
        <v>625769.47499999998</v>
      </c>
      <c r="J10" s="78">
        <v>691341.21</v>
      </c>
      <c r="L10" s="18"/>
    </row>
    <row r="11" spans="1:13" x14ac:dyDescent="0.25">
      <c r="A11" s="31"/>
      <c r="B11" s="26" t="s">
        <v>16</v>
      </c>
      <c r="C11" s="27" t="s">
        <v>17</v>
      </c>
      <c r="D11" s="77">
        <v>13273.78</v>
      </c>
      <c r="E11" s="77">
        <v>14171.35</v>
      </c>
      <c r="F11" s="77">
        <v>12903.05</v>
      </c>
      <c r="G11" s="77">
        <v>20727.759999999998</v>
      </c>
      <c r="H11" s="77">
        <v>22662.69</v>
      </c>
      <c r="I11" s="77">
        <f t="shared" si="0"/>
        <v>19253.345000000001</v>
      </c>
      <c r="J11" s="78">
        <v>15844</v>
      </c>
      <c r="L11" s="18"/>
    </row>
    <row r="12" spans="1:13" x14ac:dyDescent="0.25">
      <c r="A12" s="31"/>
      <c r="B12" s="27"/>
      <c r="C12" s="27" t="s">
        <v>13</v>
      </c>
      <c r="D12" s="77">
        <v>400745</v>
      </c>
      <c r="E12" s="77">
        <v>466845.58</v>
      </c>
      <c r="F12" s="77">
        <v>298421.57</v>
      </c>
      <c r="G12" s="77">
        <v>199811.86</v>
      </c>
      <c r="H12" s="77">
        <v>15333.03</v>
      </c>
      <c r="I12" s="77">
        <f t="shared" si="0"/>
        <v>174279.51500000001</v>
      </c>
      <c r="J12" s="78">
        <v>333226</v>
      </c>
    </row>
    <row r="13" spans="1:13" x14ac:dyDescent="0.25">
      <c r="A13" s="31"/>
      <c r="B13" s="27"/>
      <c r="C13" s="27" t="s">
        <v>14</v>
      </c>
      <c r="D13" s="77">
        <v>784264</v>
      </c>
      <c r="E13" s="77">
        <v>839267.5</v>
      </c>
      <c r="F13" s="77">
        <v>1634652</v>
      </c>
      <c r="G13" s="77">
        <v>1230069.08</v>
      </c>
      <c r="H13" s="77">
        <v>611476.85</v>
      </c>
      <c r="I13" s="77">
        <f t="shared" si="0"/>
        <v>901677.92500000005</v>
      </c>
      <c r="J13" s="78">
        <v>1191879</v>
      </c>
    </row>
    <row r="14" spans="1:13" x14ac:dyDescent="0.25">
      <c r="A14" s="31"/>
      <c r="B14" s="27"/>
      <c r="C14" s="27" t="s">
        <v>15</v>
      </c>
      <c r="D14" s="77">
        <v>64157.25</v>
      </c>
      <c r="E14" s="77">
        <v>69716.31</v>
      </c>
      <c r="F14" s="77">
        <v>72053.539999999994</v>
      </c>
      <c r="G14" s="77">
        <v>96373.09</v>
      </c>
      <c r="H14" s="77">
        <v>100342.35</v>
      </c>
      <c r="I14" s="77">
        <f t="shared" si="0"/>
        <v>83503.13</v>
      </c>
      <c r="J14" s="78">
        <v>66663.91</v>
      </c>
    </row>
    <row r="15" spans="1:13" x14ac:dyDescent="0.25">
      <c r="A15" s="31"/>
      <c r="B15" s="26" t="s">
        <v>18</v>
      </c>
      <c r="C15" s="27" t="s">
        <v>19</v>
      </c>
      <c r="D15" s="77">
        <v>442089</v>
      </c>
      <c r="E15" s="77">
        <v>458022</v>
      </c>
      <c r="F15" s="77">
        <v>644825</v>
      </c>
      <c r="G15" s="77">
        <v>619280</v>
      </c>
      <c r="H15" s="77">
        <v>489747</v>
      </c>
      <c r="I15" s="77">
        <f t="shared" si="0"/>
        <v>421547.5</v>
      </c>
      <c r="J15" s="78">
        <v>353348</v>
      </c>
    </row>
    <row r="16" spans="1:13" x14ac:dyDescent="0.25">
      <c r="A16" s="31"/>
      <c r="B16" s="27"/>
      <c r="C16" s="27" t="s">
        <v>20</v>
      </c>
      <c r="D16" s="77">
        <v>102887</v>
      </c>
      <c r="E16" s="77">
        <v>106095</v>
      </c>
      <c r="F16" s="77">
        <v>107147.72</v>
      </c>
      <c r="G16" s="77">
        <v>207417.44</v>
      </c>
      <c r="H16" s="77">
        <v>213207</v>
      </c>
      <c r="I16" s="77">
        <f t="shared" si="0"/>
        <v>109795.5</v>
      </c>
      <c r="J16" s="78">
        <v>6384</v>
      </c>
    </row>
    <row r="17" spans="1:34" ht="16.5" thickBot="1" x14ac:dyDescent="0.3">
      <c r="A17" s="35"/>
      <c r="B17" s="43"/>
      <c r="C17" s="43" t="s">
        <v>15</v>
      </c>
      <c r="D17" s="79">
        <v>2538.98</v>
      </c>
      <c r="E17" s="79">
        <v>3357.31</v>
      </c>
      <c r="F17" s="79">
        <v>4333.24</v>
      </c>
      <c r="G17" s="79">
        <v>4248.4799999999996</v>
      </c>
      <c r="H17" s="79">
        <v>3181.33</v>
      </c>
      <c r="I17" s="79">
        <f t="shared" si="0"/>
        <v>2814.8850000000002</v>
      </c>
      <c r="J17" s="80">
        <v>2448.44</v>
      </c>
      <c r="L17" s="11"/>
    </row>
    <row r="18" spans="1:34" ht="16.5" thickBot="1" x14ac:dyDescent="0.3">
      <c r="D18" s="3"/>
      <c r="E18" s="3"/>
      <c r="F18" s="3"/>
      <c r="G18" s="3"/>
      <c r="H18" s="3"/>
      <c r="I18" s="3"/>
      <c r="J18" s="3"/>
      <c r="L18" s="82" t="s">
        <v>117</v>
      </c>
      <c r="M18" s="40"/>
      <c r="N18" s="40"/>
      <c r="O18" s="40"/>
      <c r="P18" s="40"/>
      <c r="Q18" s="40"/>
      <c r="R18" s="40"/>
      <c r="S18" s="40"/>
      <c r="T18" s="101" t="s">
        <v>118</v>
      </c>
      <c r="U18" s="40"/>
      <c r="V18" s="40"/>
      <c r="W18" s="40"/>
      <c r="X18" s="40"/>
      <c r="Y18" s="40"/>
      <c r="Z18" s="40"/>
      <c r="AA18" s="40"/>
      <c r="AB18" s="101" t="s">
        <v>119</v>
      </c>
      <c r="AC18" s="40"/>
      <c r="AD18" s="40"/>
      <c r="AE18" s="40"/>
      <c r="AF18" s="40"/>
      <c r="AG18" s="40"/>
      <c r="AH18" s="41"/>
    </row>
    <row r="19" spans="1:34" ht="16.5" thickBot="1" x14ac:dyDescent="0.3">
      <c r="A19" s="200" t="s">
        <v>105</v>
      </c>
      <c r="B19" s="182"/>
      <c r="C19" s="182"/>
      <c r="D19" s="201" t="s">
        <v>30</v>
      </c>
      <c r="E19" s="198" t="s">
        <v>31</v>
      </c>
      <c r="F19" s="198" t="s">
        <v>32</v>
      </c>
      <c r="G19" s="198" t="s">
        <v>33</v>
      </c>
      <c r="H19" s="198" t="s">
        <v>34</v>
      </c>
      <c r="I19" s="198" t="s">
        <v>35</v>
      </c>
      <c r="J19" s="199" t="s">
        <v>0</v>
      </c>
      <c r="L19" s="105" t="s">
        <v>30</v>
      </c>
      <c r="M19" s="81" t="s">
        <v>31</v>
      </c>
      <c r="N19" s="81" t="s">
        <v>32</v>
      </c>
      <c r="O19" s="81" t="s">
        <v>33</v>
      </c>
      <c r="P19" s="81" t="s">
        <v>34</v>
      </c>
      <c r="Q19" s="81" t="s">
        <v>35</v>
      </c>
      <c r="R19" s="81" t="s">
        <v>0</v>
      </c>
      <c r="S19" s="27"/>
      <c r="T19" s="81" t="s">
        <v>30</v>
      </c>
      <c r="U19" s="81" t="s">
        <v>31</v>
      </c>
      <c r="V19" s="81" t="s">
        <v>32</v>
      </c>
      <c r="W19" s="81" t="s">
        <v>33</v>
      </c>
      <c r="X19" s="81" t="s">
        <v>34</v>
      </c>
      <c r="Y19" s="81" t="s">
        <v>35</v>
      </c>
      <c r="Z19" s="81" t="s">
        <v>0</v>
      </c>
      <c r="AA19" s="27"/>
      <c r="AB19" s="81" t="s">
        <v>30</v>
      </c>
      <c r="AC19" s="81" t="s">
        <v>31</v>
      </c>
      <c r="AD19" s="81" t="s">
        <v>32</v>
      </c>
      <c r="AE19" s="81" t="s">
        <v>33</v>
      </c>
      <c r="AF19" s="81" t="s">
        <v>34</v>
      </c>
      <c r="AG19" s="81" t="s">
        <v>35</v>
      </c>
      <c r="AH19" s="106" t="s">
        <v>0</v>
      </c>
    </row>
    <row r="20" spans="1:34" x14ac:dyDescent="0.25">
      <c r="A20" s="175"/>
      <c r="B20" s="195" t="s">
        <v>12</v>
      </c>
      <c r="C20" s="176" t="s">
        <v>106</v>
      </c>
      <c r="D20" s="193">
        <f>'Factors and Conversions'!$C$4*D4</f>
        <v>5997534.2699999996</v>
      </c>
      <c r="E20" s="193">
        <f>'Factors and Conversions'!$C$4*E4</f>
        <v>6422405.9899999993</v>
      </c>
      <c r="F20" s="193">
        <f>'Factors and Conversions'!$C$4*F4</f>
        <v>6891798.5499999998</v>
      </c>
      <c r="G20" s="193">
        <f>'Factors and Conversions'!$C$4*G4</f>
        <v>7110830.0899999999</v>
      </c>
      <c r="H20" s="193">
        <f>'Factors and Conversions'!$C$4*H4</f>
        <v>7470608.7299999995</v>
      </c>
      <c r="I20" s="193">
        <f>'Factors and Conversions'!$C$4*I4</f>
        <v>8197016.8799999999</v>
      </c>
      <c r="J20" s="194">
        <f>'Factors and Conversions'!$C$4*J4</f>
        <v>8923425.0299999993</v>
      </c>
      <c r="L20" s="103">
        <f>D20*'Factors and Conversions'!$B$4/10^6</f>
        <v>574.62375840870004</v>
      </c>
      <c r="M20" s="29">
        <f>E20*'Factors and Conversions'!$B$4/10^6</f>
        <v>615.3307179018999</v>
      </c>
      <c r="N20" s="29">
        <f>F20*'Factors and Conversions'!$B$4/10^6</f>
        <v>660.30321907550001</v>
      </c>
      <c r="O20" s="29">
        <f>G20*'Factors and Conversions'!$B$4/10^6</f>
        <v>681.28863092289998</v>
      </c>
      <c r="P20" s="29">
        <f>H20*'Factors and Conversions'!$B$4/10^6</f>
        <v>715.75902242129996</v>
      </c>
      <c r="Q20" s="29">
        <f>I20*'Factors and Conversions'!$B$4/10^6</f>
        <v>785.35618727279996</v>
      </c>
      <c r="R20" s="29">
        <f>J20*'Factors and Conversions'!$B$4/10^6</f>
        <v>854.95335212429995</v>
      </c>
      <c r="S20" s="29"/>
      <c r="T20" s="57">
        <f>D20*'Factors and Conversions'!$D$4/10^9*21</f>
        <v>0.12594821967</v>
      </c>
      <c r="U20" s="57">
        <f>E20*'Factors and Conversions'!$D$4/10^9*21</f>
        <v>0.13487052579</v>
      </c>
      <c r="V20" s="57">
        <f>F20*'Factors and Conversions'!$D$4/10^9*21</f>
        <v>0.14472776955</v>
      </c>
      <c r="W20" s="57">
        <f>G20*'Factors and Conversions'!$D$4/10^9*21</f>
        <v>0.14932743189</v>
      </c>
      <c r="X20" s="57">
        <f>H20*'Factors and Conversions'!$D$4/10^9*21</f>
        <v>0.15688278333</v>
      </c>
      <c r="Y20" s="57">
        <f>I20*'Factors and Conversions'!$D$4/10^9*21</f>
        <v>0.17213735448</v>
      </c>
      <c r="Z20" s="57">
        <f>J20*'Factors and Conversions'!$D$4/10^9*21</f>
        <v>0.18739192562999998</v>
      </c>
      <c r="AA20" s="57"/>
      <c r="AB20" s="57">
        <f>D20*'Factors and Conversions'!$E$4*310/10^9</f>
        <v>2.6029298731799995</v>
      </c>
      <c r="AC20" s="57">
        <f>E20*'Factors and Conversions'!$E$4*310/10^9</f>
        <v>2.7873241996599996</v>
      </c>
      <c r="AD20" s="57">
        <f>F20*'Factors and Conversions'!$E$4*310/10^9</f>
        <v>2.9910405706999996</v>
      </c>
      <c r="AE20" s="57">
        <f>G20*'Factors and Conversions'!$E$4*310/10^9</f>
        <v>3.0861002590599993</v>
      </c>
      <c r="AF20" s="57">
        <f>H20*'Factors and Conversions'!$E$4*310/10^9</f>
        <v>3.2422441888199995</v>
      </c>
      <c r="AG20" s="57">
        <f>I20*'Factors and Conversions'!$E$4*310/10^9</f>
        <v>3.5575053259199998</v>
      </c>
      <c r="AH20" s="57">
        <f>J20*'Factors and Conversions'!$E$4*310/10^9</f>
        <v>3.8727664630199992</v>
      </c>
    </row>
    <row r="21" spans="1:34" x14ac:dyDescent="0.25">
      <c r="A21" s="58"/>
      <c r="B21" s="56"/>
      <c r="C21" s="27" t="s">
        <v>107</v>
      </c>
      <c r="D21" s="77">
        <f>D5/'Factors and Conversions'!$H$9/1000*'Factors and Conversions'!$C$9</f>
        <v>42679.553722179582</v>
      </c>
      <c r="E21" s="77">
        <f>E5/'Factors and Conversions'!$H$9/1000*'Factors and Conversions'!$C$9</f>
        <v>51583.831542594016</v>
      </c>
      <c r="F21" s="77">
        <f>F5/'Factors and Conversions'!$H$9/1000*'Factors and Conversions'!$C$9</f>
        <v>52360.787413660786</v>
      </c>
      <c r="G21" s="77">
        <f>G5/'Factors and Conversions'!$H$9/1000*'Factors and Conversions'!$C$9</f>
        <v>39032.275518035305</v>
      </c>
      <c r="H21" s="77">
        <f>H5/'Factors and Conversions'!$H$9/1000*'Factors and Conversions'!$C$9</f>
        <v>34777.020721412126</v>
      </c>
      <c r="I21" s="77">
        <f>I5/'Factors and Conversions'!$H$9/1000*'Factors and Conversions'!$C$9</f>
        <v>32188.479086722946</v>
      </c>
      <c r="J21" s="78">
        <f>J5/'Factors and Conversions'!$H$9/1000*'Factors and Conversions'!$C$9</f>
        <v>29599.937452033766</v>
      </c>
      <c r="L21" s="103">
        <f>D21*'Factors and Conversions'!$B$9/10^6</f>
        <v>3.3033974580966996</v>
      </c>
      <c r="M21" s="29">
        <f>E21*'Factors and Conversions'!$B$9/10^6</f>
        <v>3.9925885613967771</v>
      </c>
      <c r="N21" s="29">
        <f>F21*'Factors and Conversions'!$B$9/10^6</f>
        <v>4.0527249458173449</v>
      </c>
      <c r="O21" s="29">
        <f>G21*'Factors and Conversions'!$B$9/10^6</f>
        <v>3.0210981250959326</v>
      </c>
      <c r="P21" s="29">
        <f>H21*'Factors and Conversions'!$B$9/10^6</f>
        <v>2.6917414038372987</v>
      </c>
      <c r="Q21" s="29">
        <f>I21*'Factors and Conversions'!$B$9/10^6</f>
        <v>2.4913882813123562</v>
      </c>
      <c r="R21" s="29">
        <f>J21*'Factors and Conversions'!$B$9/10^6</f>
        <v>2.2910351587874134</v>
      </c>
      <c r="S21" s="29"/>
      <c r="T21" s="57">
        <f>D21*'Factors and Conversions'!$D$9/10^9*21</f>
        <v>2.6888118844973137E-3</v>
      </c>
      <c r="U21" s="57">
        <f>E21*'Factors and Conversions'!$D$9/10^9*21</f>
        <v>3.2497813871834231E-3</v>
      </c>
      <c r="V21" s="57">
        <f>F21*'Factors and Conversions'!$D$9/10^9*21</f>
        <v>3.2987296070606299E-3</v>
      </c>
      <c r="W21" s="57">
        <f>G21*'Factors and Conversions'!$D$9/10^9*21</f>
        <v>2.4590333576362242E-3</v>
      </c>
      <c r="X21" s="57">
        <f>H21*'Factors and Conversions'!$D$9/10^9*21</f>
        <v>2.1909523054489638E-3</v>
      </c>
      <c r="Y21" s="57">
        <f>I21*'Factors and Conversions'!$D$9/10^9*21</f>
        <v>2.0278741824635454E-3</v>
      </c>
      <c r="Z21" s="57">
        <f>J21*'Factors and Conversions'!$D$9/10^9*21</f>
        <v>1.8647960594781272E-3</v>
      </c>
      <c r="AA21" s="57"/>
      <c r="AB21" s="57">
        <f>D21*'Factors and Conversions'!$E$9*310/10^9</f>
        <v>7.9383969923254027E-3</v>
      </c>
      <c r="AC21" s="57">
        <f>E21*'Factors and Conversions'!$E$9*310/10^9</f>
        <v>9.5945926669224867E-3</v>
      </c>
      <c r="AD21" s="57">
        <f>F21*'Factors and Conversions'!$E$9*310/10^9</f>
        <v>9.739106458940907E-3</v>
      </c>
      <c r="AE21" s="57">
        <f>G21*'Factors and Conversions'!$E$9*310/10^9</f>
        <v>7.2600032463545671E-3</v>
      </c>
      <c r="AF21" s="57">
        <f>H21*'Factors and Conversions'!$E$9*310/10^9</f>
        <v>6.4685258541826553E-3</v>
      </c>
      <c r="AG21" s="57">
        <f>I21*'Factors and Conversions'!$E$9*310/10^9</f>
        <v>5.9870571101304686E-3</v>
      </c>
      <c r="AH21" s="57">
        <f>J21*'Factors and Conversions'!$E$9*310/10^9</f>
        <v>5.505588366078281E-3</v>
      </c>
    </row>
    <row r="22" spans="1:34" x14ac:dyDescent="0.25">
      <c r="A22" s="58"/>
      <c r="B22" s="56"/>
      <c r="C22" s="27" t="s">
        <v>108</v>
      </c>
      <c r="D22" s="77">
        <f>D6/('Factors and Conversions'!$H$5+'Factors and Conversions'!$H$8)*2/1000*'Factors and Conversions'!$C$6</f>
        <v>9811.4241893076232</v>
      </c>
      <c r="E22" s="77">
        <f>E6/('Factors and Conversions'!$H$5+'Factors and Conversions'!$H$8)*2/1000*'Factors and Conversions'!$C$6</f>
        <v>9100.4355828220851</v>
      </c>
      <c r="F22" s="77">
        <f>F6/('Factors and Conversions'!$H$5+'Factors and Conversions'!$H$8)*2/1000*'Factors and Conversions'!$C$6</f>
        <v>9573.6993865030672</v>
      </c>
      <c r="G22" s="77">
        <f>G6/('Factors and Conversions'!$H$5+'Factors and Conversions'!$H$8)*2/1000*'Factors and Conversions'!$C$6</f>
        <v>9657.1367221735327</v>
      </c>
      <c r="H22" s="77">
        <f>H6/('Factors and Conversions'!$H$5+'Factors and Conversions'!$H$8)*2/1000*'Factors and Conversions'!$C$6</f>
        <v>12291.40490797546</v>
      </c>
      <c r="I22" s="77">
        <f>I6/('Factors and Conversions'!$H$5+'Factors and Conversions'!$H$8)*2/1000*'Factors and Conversions'!$C$6</f>
        <v>10471.724802804558</v>
      </c>
      <c r="J22" s="78">
        <f>J6/('Factors and Conversions'!$H$5+'Factors and Conversions'!$H$8)*2/1000*'Factors and Conversions'!$C$6</f>
        <v>8652.0446976336534</v>
      </c>
      <c r="L22" s="103">
        <f>D22*'Factors and Conversions'!$B$6/10^6</f>
        <v>0.72702653242769488</v>
      </c>
      <c r="M22" s="29">
        <f>E22*'Factors and Conversions'!$B$6/10^6</f>
        <v>0.67434227668711644</v>
      </c>
      <c r="N22" s="29">
        <f>F22*'Factors and Conversions'!$B$6/10^6</f>
        <v>0.7094111245398772</v>
      </c>
      <c r="O22" s="29">
        <f>G22*'Factors and Conversions'!$B$6/10^6</f>
        <v>0.71559383111305874</v>
      </c>
      <c r="P22" s="29">
        <f>H22*'Factors and Conversions'!$B$6/10^6</f>
        <v>0.91079310368098154</v>
      </c>
      <c r="Q22" s="29">
        <f>I22*'Factors and Conversions'!$B$6/10^6</f>
        <v>0.77595480788781779</v>
      </c>
      <c r="R22" s="29">
        <f>J22*'Factors and Conversions'!$B$6/10^6</f>
        <v>0.6411165120946537</v>
      </c>
      <c r="S22" s="29"/>
      <c r="T22" s="57">
        <f>D22*'Factors and Conversions'!$D$6/10^9*21</f>
        <v>6.181197239263803E-4</v>
      </c>
      <c r="U22" s="57">
        <f>E22*'Factors and Conversions'!$D$6/10^9*21</f>
        <v>5.7332744171779135E-4</v>
      </c>
      <c r="V22" s="57">
        <f>F22*'Factors and Conversions'!$D$6/10^9*21</f>
        <v>6.0314306134969322E-4</v>
      </c>
      <c r="W22" s="57">
        <f>G22*'Factors and Conversions'!$D$6/10^9*21</f>
        <v>6.0839961349693254E-4</v>
      </c>
      <c r="X22" s="57">
        <f>H22*'Factors and Conversions'!$D$6/10^9*21</f>
        <v>7.7435850920245391E-4</v>
      </c>
      <c r="Y22" s="57">
        <f>I22*'Factors and Conversions'!$D$6/10^9*21</f>
        <v>6.5971866257668709E-4</v>
      </c>
      <c r="Z22" s="57">
        <f>J22*'Factors and Conversions'!$D$6/10^9*21</f>
        <v>5.4507881595092017E-4</v>
      </c>
      <c r="AA22" s="57"/>
      <c r="AB22" s="57">
        <f>D22*'Factors and Conversions'!$E$6*310/10^9</f>
        <v>1.8249248992112175E-3</v>
      </c>
      <c r="AC22" s="57">
        <f>E22*'Factors and Conversions'!$E$6*310/10^9</f>
        <v>1.6926810184049077E-3</v>
      </c>
      <c r="AD22" s="57">
        <f>F22*'Factors and Conversions'!$E$6*310/10^9</f>
        <v>1.7807080858895704E-3</v>
      </c>
      <c r="AE22" s="57">
        <f>G22*'Factors and Conversions'!$E$6*310/10^9</f>
        <v>1.7962274303242769E-3</v>
      </c>
      <c r="AF22" s="57">
        <f>H22*'Factors and Conversions'!$E$6*310/10^9</f>
        <v>2.2862013128834356E-3</v>
      </c>
      <c r="AG22" s="57">
        <f>I22*'Factors and Conversions'!$E$6*310/10^9</f>
        <v>1.9477408133216478E-3</v>
      </c>
      <c r="AH22" s="57">
        <f>J22*'Factors and Conversions'!$E$6*310/10^9</f>
        <v>1.6092803137598597E-3</v>
      </c>
    </row>
    <row r="23" spans="1:34" x14ac:dyDescent="0.25">
      <c r="A23" s="58"/>
      <c r="B23" s="56"/>
      <c r="C23" s="27" t="s">
        <v>109</v>
      </c>
      <c r="D23" s="77">
        <f>D7/'Factors and Conversions'!$H$9/1000*'Factors and Conversions'!$C$15</f>
        <v>17130.62221795856</v>
      </c>
      <c r="E23" s="77">
        <f>E7/'Factors and Conversions'!$H$9/1000*'Factors and Conversions'!$C$15</f>
        <v>16129.247313891023</v>
      </c>
      <c r="F23" s="77">
        <f>F7/'Factors and Conversions'!$H$9/1000*'Factors and Conversions'!$C$15</f>
        <v>14839.330199539527</v>
      </c>
      <c r="G23" s="77">
        <f>G7/'Factors and Conversions'!$H$9/1000*'Factors and Conversions'!$C$15</f>
        <v>5141.465848042978</v>
      </c>
      <c r="H23" s="77">
        <f>H7/'Factors and Conversions'!$H$9/1000*'Factors and Conversions'!$C$15</f>
        <v>181.21623177283197</v>
      </c>
      <c r="I23" s="77">
        <f>I7/'Factors and Conversions'!$H$9/1000*'Factors and Conversions'!$C$15</f>
        <v>945.47515349194168</v>
      </c>
      <c r="J23" s="78">
        <f>J7/'Factors and Conversions'!$H$9/1000*'Factors and Conversions'!$C$15</f>
        <v>1709.7340752110515</v>
      </c>
      <c r="L23" s="103">
        <f>D23*'Factors and Conversions'!$B$15/10^6</f>
        <v>1.2556746085763626</v>
      </c>
      <c r="M23" s="29">
        <f>E23*'Factors and Conversions'!$B$15/10^6</f>
        <v>1.1822738281082119</v>
      </c>
      <c r="N23" s="29">
        <f>F23*'Factors and Conversions'!$B$15/10^6</f>
        <v>1.0877229036262472</v>
      </c>
      <c r="O23" s="29">
        <f>G23*'Factors and Conversions'!$B$15/10^6</f>
        <v>0.37686944666155026</v>
      </c>
      <c r="P23" s="29">
        <f>H23*'Factors and Conversions'!$B$15/10^6</f>
        <v>1.3283149788948583E-2</v>
      </c>
      <c r="Q23" s="29">
        <f>I23*'Factors and Conversions'!$B$15/10^6</f>
        <v>6.930332875095932E-2</v>
      </c>
      <c r="R23" s="29">
        <f>J23*'Factors and Conversions'!$B$15/10^6</f>
        <v>0.12532350771297007</v>
      </c>
      <c r="S23" s="29"/>
      <c r="T23" s="57">
        <f>D23*'Factors and Conversions'!$D$15/10^9*21</f>
        <v>1.0792291997313893E-3</v>
      </c>
      <c r="U23" s="57">
        <f>E23*'Factors and Conversions'!$D$15/10^9*21</f>
        <v>1.0161425807751346E-3</v>
      </c>
      <c r="V23" s="57">
        <f>F23*'Factors and Conversions'!$D$15/10^9*21</f>
        <v>9.3487780257099011E-4</v>
      </c>
      <c r="W23" s="57">
        <f>G23*'Factors and Conversions'!$D$15/10^9*21</f>
        <v>3.2391234842670761E-4</v>
      </c>
      <c r="X23" s="57">
        <f>H23*'Factors and Conversions'!$D$15/10^9*21</f>
        <v>1.1416622601688414E-5</v>
      </c>
      <c r="Y23" s="57">
        <f>I23*'Factors and Conversions'!$D$15/10^9*21</f>
        <v>5.9564934669992323E-5</v>
      </c>
      <c r="Z23" s="57">
        <f>J23*'Factors and Conversions'!$D$15/10^9*21</f>
        <v>1.0771324673829625E-4</v>
      </c>
      <c r="AA23" s="57"/>
      <c r="AB23" s="57">
        <f>D23*'Factors and Conversions'!$E$15*310/10^9</f>
        <v>3.1862957325402923E-3</v>
      </c>
      <c r="AC23" s="57">
        <f>E23*'Factors and Conversions'!$E$15*310/10^9</f>
        <v>3.0000400003837302E-3</v>
      </c>
      <c r="AD23" s="57">
        <f>F23*'Factors and Conversions'!$E$15*310/10^9</f>
        <v>2.7601154171143518E-3</v>
      </c>
      <c r="AE23" s="57">
        <f>G23*'Factors and Conversions'!$E$15*310/10^9</f>
        <v>9.5631264773599382E-4</v>
      </c>
      <c r="AF23" s="57">
        <f>H23*'Factors and Conversions'!$E$15*310/10^9</f>
        <v>3.3706219109746743E-5</v>
      </c>
      <c r="AG23" s="57">
        <f>I23*'Factors and Conversions'!$E$15*310/10^9</f>
        <v>1.7585837854950114E-4</v>
      </c>
      <c r="AH23" s="57">
        <f>J23*'Factors and Conversions'!$E$15*310/10^9</f>
        <v>3.1801053798925555E-4</v>
      </c>
    </row>
    <row r="24" spans="1:34" x14ac:dyDescent="0.25">
      <c r="A24" s="58"/>
      <c r="B24" s="56"/>
      <c r="C24" s="27" t="s">
        <v>8</v>
      </c>
      <c r="D24" s="204">
        <f>(31891+26*('Factors and Conversions'!H11*10^3))*'Factors and Conversions'!C11/1000</f>
        <v>2479.248</v>
      </c>
      <c r="E24" s="77">
        <f>E8*'Factors and Conversions'!$C$11/1000</f>
        <v>10521.263999999999</v>
      </c>
      <c r="F24" s="77">
        <f>F8*'Factors and Conversions'!$C$11/1000</f>
        <v>2858.4479999999999</v>
      </c>
      <c r="G24" s="77">
        <f>G8*'Factors and Conversions'!$C$11/1000</f>
        <v>14079.456</v>
      </c>
      <c r="H24" s="77">
        <f>H8*'Factors and Conversions'!$C$11/1000</f>
        <v>29329.727999999999</v>
      </c>
      <c r="I24" s="77">
        <f>I8*'Factors and Conversions'!$C$11/1000</f>
        <v>19165.464</v>
      </c>
      <c r="J24" s="78">
        <f>J8*'Factors and Conversions'!$C$11/1000</f>
        <v>9001.2000000000007</v>
      </c>
      <c r="L24" s="103">
        <f>D24*'Factors and Conversions'!$B$11/10^6</f>
        <v>0.13908581280000001</v>
      </c>
      <c r="M24" s="29">
        <f>E24*'Factors and Conversions'!$B$11/10^6</f>
        <v>0.59024291039999999</v>
      </c>
      <c r="N24" s="29">
        <f>F24*'Factors and Conversions'!$B$11/10^6</f>
        <v>0.16035893280000002</v>
      </c>
      <c r="O24" s="29">
        <f>G24*'Factors and Conversions'!$B$11/10^6</f>
        <v>0.78985748160000002</v>
      </c>
      <c r="P24" s="29">
        <f>H24*'Factors and Conversions'!$B$11/10^6</f>
        <v>1.6453977408</v>
      </c>
      <c r="Q24" s="29">
        <f>I24*'Factors and Conversions'!$B$11/10^6</f>
        <v>1.0751825304</v>
      </c>
      <c r="R24" s="29">
        <f>J24*'Factors and Conversions'!$B$11/10^6</f>
        <v>0.50496732000000011</v>
      </c>
      <c r="S24" s="29"/>
      <c r="T24" s="57">
        <f>D24*'Factors and Conversions'!$D$11/10^9*21</f>
        <v>5.2064207999999997E-5</v>
      </c>
      <c r="U24" s="57">
        <f>E24*'Factors and Conversions'!$D$11/10^9*21</f>
        <v>2.2094654399999996E-4</v>
      </c>
      <c r="V24" s="57">
        <f>F24*'Factors and Conversions'!$D$11/10^9*21</f>
        <v>6.0027407999999996E-5</v>
      </c>
      <c r="W24" s="57">
        <f>G24*'Factors and Conversions'!$D$11/10^9*21</f>
        <v>2.9566857600000005E-4</v>
      </c>
      <c r="X24" s="57">
        <f>H24*'Factors and Conversions'!$D$11/10^9*21</f>
        <v>6.1592428799999994E-4</v>
      </c>
      <c r="Y24" s="57">
        <f>I24*'Factors and Conversions'!$D$11/10^9*21</f>
        <v>4.02474744E-4</v>
      </c>
      <c r="Z24" s="57">
        <f>J24*'Factors and Conversions'!$D$11/10^9*21</f>
        <v>1.8902520000000001E-4</v>
      </c>
      <c r="AA24" s="57"/>
      <c r="AB24" s="57">
        <f>D24*'Factors and Conversions'!$E$11*310/10^9</f>
        <v>7.6856687999999999E-5</v>
      </c>
      <c r="AC24" s="57">
        <f>E24*'Factors and Conversions'!$E$11*310/10^9</f>
        <v>3.2615918399999993E-4</v>
      </c>
      <c r="AD24" s="57">
        <f>F24*'Factors and Conversions'!$E$11*310/10^9</f>
        <v>8.8611888000000012E-5</v>
      </c>
      <c r="AE24" s="57">
        <f>G24*'Factors and Conversions'!$E$11*310/10^9</f>
        <v>4.36463136E-4</v>
      </c>
      <c r="AF24" s="57">
        <f>H24*'Factors and Conversions'!$E$11*310/10^9</f>
        <v>9.0922156799999999E-4</v>
      </c>
      <c r="AG24" s="57">
        <f>I24*'Factors and Conversions'!$E$11*310/10^9</f>
        <v>5.9412938400000008E-4</v>
      </c>
      <c r="AH24" s="57">
        <f>J24*'Factors and Conversions'!$E$11*310/10^9</f>
        <v>2.7903720000000001E-4</v>
      </c>
    </row>
    <row r="25" spans="1:34" x14ac:dyDescent="0.25">
      <c r="A25" s="31"/>
      <c r="B25" s="27"/>
      <c r="C25" s="27" t="s">
        <v>110</v>
      </c>
      <c r="D25" s="77">
        <f>D9*'Factors and Conversions'!$C$5</f>
        <v>226019.25</v>
      </c>
      <c r="E25" s="77">
        <f>E9*'Factors and Conversions'!$C$5</f>
        <v>252957.44999999998</v>
      </c>
      <c r="F25" s="77">
        <f>F9*'Factors and Conversions'!$C$5</f>
        <v>243248.06999999998</v>
      </c>
      <c r="G25" s="77">
        <f>G9*'Factors and Conversions'!$C$5</f>
        <v>259633.86</v>
      </c>
      <c r="H25" s="77">
        <f>H9*'Factors and Conversions'!$C$5</f>
        <v>280535.19</v>
      </c>
      <c r="I25" s="77">
        <f>I9*'Factors and Conversions'!$C$5</f>
        <v>294517.86</v>
      </c>
      <c r="J25" s="78">
        <f>J9*'Factors and Conversions'!$C$5</f>
        <v>308500.52999999997</v>
      </c>
      <c r="L25" s="103">
        <f>D25*'Factors and Conversions'!$B$5/10^6</f>
        <v>23.991943387500005</v>
      </c>
      <c r="M25" s="29">
        <f>E25*'Factors and Conversions'!$B$5/10^6</f>
        <v>26.8514333175</v>
      </c>
      <c r="N25" s="29">
        <f>F25*'Factors and Conversions'!$B$5/10^6</f>
        <v>25.820782630499998</v>
      </c>
      <c r="O25" s="29">
        <f>G25*'Factors and Conversions'!$B$5/10^6</f>
        <v>27.560134239</v>
      </c>
      <c r="P25" s="29">
        <f>H25*'Factors and Conversions'!$B$5/10^6</f>
        <v>29.778810418500001</v>
      </c>
      <c r="Q25" s="29">
        <f>I25*'Factors and Conversions'!$B$5/10^6</f>
        <v>31.263070839000001</v>
      </c>
      <c r="R25" s="29">
        <f>J25*'Factors and Conversions'!$B$5/10^6</f>
        <v>32.747331259499994</v>
      </c>
      <c r="S25" s="29"/>
      <c r="T25" s="57">
        <f>D25*'Factors and Conversions'!$D$5/10^9*21</f>
        <v>4.7464042499999999E-3</v>
      </c>
      <c r="U25" s="57">
        <f>E25*'Factors and Conversions'!$D$5/10^9*21</f>
        <v>5.3121064499999995E-3</v>
      </c>
      <c r="V25" s="57">
        <f>F25*'Factors and Conversions'!$D$5/10^9*21</f>
        <v>5.1082094699999997E-3</v>
      </c>
      <c r="W25" s="57">
        <f>G25*'Factors and Conversions'!$D$5/10^9*21</f>
        <v>5.4523110599999994E-3</v>
      </c>
      <c r="X25" s="57">
        <f>H25*'Factors and Conversions'!$D$5/10^9*21</f>
        <v>5.8912389899999995E-3</v>
      </c>
      <c r="Y25" s="57">
        <f>I25*'Factors and Conversions'!$D$5/10^9*21</f>
        <v>6.1848750599999992E-3</v>
      </c>
      <c r="Z25" s="57">
        <f>J25*'Factors and Conversions'!$D$5/10^9*21</f>
        <v>6.4785111299999988E-3</v>
      </c>
      <c r="AA25" s="57"/>
      <c r="AB25" s="57">
        <f>D25*'Factors and Conversions'!$E$5*310/10^9</f>
        <v>9.8092354499999979E-2</v>
      </c>
      <c r="AC25" s="57">
        <f>E25*'Factors and Conversions'!$E$5*310/10^9</f>
        <v>0.10978353329999999</v>
      </c>
      <c r="AD25" s="57">
        <f>F25*'Factors and Conversions'!$E$5*310/10^9</f>
        <v>0.10556966237999998</v>
      </c>
      <c r="AE25" s="57">
        <f>G25*'Factors and Conversions'!$E$5*310/10^9</f>
        <v>0.11268109524</v>
      </c>
      <c r="AF25" s="57">
        <f>H25*'Factors and Conversions'!$E$5*310/10^9</f>
        <v>0.12175227246000001</v>
      </c>
      <c r="AG25" s="57">
        <f>I25*'Factors and Conversions'!$E$5*310/10^9</f>
        <v>0.12782075123999997</v>
      </c>
      <c r="AH25" s="57">
        <f>J25*'Factors and Conversions'!$E$5*310/10^9</f>
        <v>0.13388923001999997</v>
      </c>
    </row>
    <row r="26" spans="1:34" x14ac:dyDescent="0.25">
      <c r="A26" s="31"/>
      <c r="B26" s="26" t="s">
        <v>16</v>
      </c>
      <c r="C26" s="27" t="s">
        <v>111</v>
      </c>
      <c r="D26" s="77">
        <f>D11*'Factors and Conversions'!$H$11*'Factors and Conversions'!$C$11</f>
        <v>484227.49439999997</v>
      </c>
      <c r="E26" s="77">
        <f>E11*'Factors and Conversions'!$H$11*'Factors and Conversions'!$C$11</f>
        <v>516970.848</v>
      </c>
      <c r="F26" s="77">
        <f>F11*'Factors and Conversions'!$H$11*'Factors and Conversions'!$C$11</f>
        <v>470703.26399999997</v>
      </c>
      <c r="G26" s="77">
        <f>G11*'Factors and Conversions'!$H$11*'Factors and Conversions'!$C$11</f>
        <v>756148.68479999993</v>
      </c>
      <c r="H26" s="77">
        <f>H11*'Factors and Conversions'!$H$11*'Factors and Conversions'!$C$11</f>
        <v>826734.93119999988</v>
      </c>
      <c r="I26" s="77">
        <f>I11*'Factors and Conversions'!$H$11*'Factors and Conversions'!$C$11</f>
        <v>702362.02560000005</v>
      </c>
      <c r="J26" s="78">
        <f>J11*'Factors and Conversions'!$H$11*'Factors and Conversions'!$C$11</f>
        <v>577989.12</v>
      </c>
      <c r="K26" s="11"/>
      <c r="L26" s="103">
        <f>D26*'Factors and Conversions'!$B$11/10^6</f>
        <v>27.165162435839999</v>
      </c>
      <c r="M26" s="29">
        <f>E26*'Factors and Conversions'!$B$11/10^6</f>
        <v>29.002064572799998</v>
      </c>
      <c r="N26" s="29">
        <f>F26*'Factors and Conversions'!$B$11/10^6</f>
        <v>26.406453110399998</v>
      </c>
      <c r="O26" s="29">
        <f>G26*'Factors and Conversions'!$B$11/10^6</f>
        <v>42.419941217279998</v>
      </c>
      <c r="P26" s="29">
        <f>H26*'Factors and Conversions'!$B$11/10^6</f>
        <v>46.379829640319997</v>
      </c>
      <c r="Q26" s="29">
        <f>I26*'Factors and Conversions'!$B$11/10^6</f>
        <v>39.402509636159998</v>
      </c>
      <c r="R26" s="29">
        <f>J26*'Factors and Conversions'!$B$11/10^6</f>
        <v>32.425189631999999</v>
      </c>
      <c r="S26" s="29"/>
      <c r="T26" s="57">
        <f>D26*'Factors and Conversions'!$D$11/10^9*21</f>
        <v>1.0168777382399999E-2</v>
      </c>
      <c r="U26" s="57">
        <f>E26*'Factors and Conversions'!$D$11/10^9*21</f>
        <v>1.0856387808000001E-2</v>
      </c>
      <c r="V26" s="57">
        <f>F26*'Factors and Conversions'!$D$11/10^9*21</f>
        <v>9.8847685439999999E-3</v>
      </c>
      <c r="W26" s="57">
        <f>G26*'Factors and Conversions'!$D$11/10^9*21</f>
        <v>1.5879122380799998E-2</v>
      </c>
      <c r="X26" s="57">
        <f>H26*'Factors and Conversions'!$D$11/10^9*21</f>
        <v>1.73614335552E-2</v>
      </c>
      <c r="Y26" s="57">
        <f>I26*'Factors and Conversions'!$D$11/10^9*21</f>
        <v>1.4749602537600002E-2</v>
      </c>
      <c r="Z26" s="57">
        <f>J26*'Factors and Conversions'!$D$11/10^9*21</f>
        <v>1.2137771519999998E-2</v>
      </c>
      <c r="AA26" s="57"/>
      <c r="AB26" s="57">
        <f>D26*'Factors and Conversions'!$E$11/10^9*310</f>
        <v>1.5011052326399999E-2</v>
      </c>
      <c r="AC26" s="57">
        <f>E26*'Factors and Conversions'!$E$11/10^9*310</f>
        <v>1.6026096288000002E-2</v>
      </c>
      <c r="AD26" s="57">
        <f>F26*'Factors and Conversions'!$E$11/10^9*310</f>
        <v>1.4591801184000001E-2</v>
      </c>
      <c r="AE26" s="57">
        <f>G26*'Factors and Conversions'!$E$11/10^9*310</f>
        <v>2.3440609228799997E-2</v>
      </c>
      <c r="AF26" s="57">
        <f>H26*'Factors and Conversions'!$E$11/10^9*310</f>
        <v>2.5628782867199999E-2</v>
      </c>
      <c r="AG26" s="57">
        <f>I26*'Factors and Conversions'!$E$11/10^9*310</f>
        <v>2.1773222793600003E-2</v>
      </c>
      <c r="AH26" s="228">
        <f>J26*'Factors and Conversions'!$E$11/10^9*310</f>
        <v>1.7917662720000001E-2</v>
      </c>
    </row>
    <row r="27" spans="1:34" x14ac:dyDescent="0.25">
      <c r="A27" s="31"/>
      <c r="B27" s="27"/>
      <c r="C27" s="27" t="s">
        <v>112</v>
      </c>
      <c r="D27" s="77">
        <f>D12/'Factors and Conversions'!$H$5/1000*'Factors and Conversions'!$C$10</f>
        <v>14241.351239669422</v>
      </c>
      <c r="E27" s="77">
        <f>E12/'Factors and Conversions'!$H$5/1000*'Factors and Conversions'!$C$10</f>
        <v>16590.380115702479</v>
      </c>
      <c r="F27" s="77">
        <f>F12/'Factors and Conversions'!$H$5/1000*'Factors and Conversions'!$C$10</f>
        <v>10605.064057851241</v>
      </c>
      <c r="G27" s="77">
        <f>G12/'Factors and Conversions'!$H$5/1000*'Factors and Conversions'!$C$10</f>
        <v>7100.7520495867766</v>
      </c>
      <c r="H27" s="77">
        <f>H12/'Factors and Conversions'!$H$5/1000*'Factors and Conversions'!$C$10</f>
        <v>544.89280165289256</v>
      </c>
      <c r="I27" s="77">
        <f>I12/'Factors and Conversions'!$H$5/1000*'Factors and Conversions'!$C$10</f>
        <v>6193.4042520661169</v>
      </c>
      <c r="J27" s="78">
        <f>J12/'Factors and Conversions'!$H$5/1000*'Factors and Conversions'!$C$10</f>
        <v>11841.915702479339</v>
      </c>
      <c r="L27" s="231">
        <f>D27*'Factors and Conversions'!$B$10/10^6</f>
        <v>1.0552841268595041</v>
      </c>
      <c r="M27" s="231">
        <f>E27*'Factors and Conversions'!$B$10/10^6</f>
        <v>1.2293471665735536</v>
      </c>
      <c r="N27" s="231">
        <f>F27*'Factors and Conversions'!$B$10/10^6</f>
        <v>0.78583524668677684</v>
      </c>
      <c r="O27" s="231">
        <f>G27*'Factors and Conversions'!$B$10/10^6</f>
        <v>0.52616572687438012</v>
      </c>
      <c r="P27" s="231">
        <f>H27*'Factors and Conversions'!$B$10/10^6</f>
        <v>4.0376556602479338E-2</v>
      </c>
      <c r="Q27" s="231">
        <f>I27*'Factors and Conversions'!$B$10/10^6</f>
        <v>0.45893125507809918</v>
      </c>
      <c r="R27" s="231">
        <f>J27*'Factors and Conversions'!$B$10/10^6</f>
        <v>0.87748595355371883</v>
      </c>
      <c r="S27" s="29"/>
      <c r="T27" s="57">
        <f>D27*'Factors and Conversions'!$D$10/10^9*21</f>
        <v>8.9720512809917362E-4</v>
      </c>
      <c r="U27" s="57">
        <f>E27*'Factors and Conversions'!$D$10/10^9*21</f>
        <v>1.0451939472892562E-3</v>
      </c>
      <c r="V27" s="57">
        <f>F27*'Factors and Conversions'!$D$10/10^9*21</f>
        <v>6.6811903564462831E-4</v>
      </c>
      <c r="W27" s="57">
        <f>G27*'Factors and Conversions'!$D$10/10^9*21</f>
        <v>4.4734737912396699E-4</v>
      </c>
      <c r="X27" s="57">
        <f>H27*'Factors and Conversions'!$D$10/10^9*21</f>
        <v>3.4328246504132232E-5</v>
      </c>
      <c r="Y27" s="57">
        <f>I27*'Factors and Conversions'!$D$10/10^9*21</f>
        <v>3.901844678801654E-4</v>
      </c>
      <c r="Z27" s="57">
        <f>J27*'Factors and Conversions'!$D$10/10^9*21</f>
        <v>7.4604068925619835E-4</v>
      </c>
      <c r="AA27" s="57"/>
      <c r="AB27" s="57">
        <f>D27*'Factors and Conversions'!$E$10/10^9*310</f>
        <v>2.6488913305785125E-3</v>
      </c>
      <c r="AC27" s="57">
        <f>E27*'Factors and Conversions'!$E$10/10^9*310</f>
        <v>3.085810701520661E-3</v>
      </c>
      <c r="AD27" s="57">
        <f>F27*'Factors and Conversions'!$E$10/10^9*310</f>
        <v>1.9725419147603308E-3</v>
      </c>
      <c r="AE27" s="57">
        <f>G27*'Factors and Conversions'!$E$10/10^9*310</f>
        <v>1.3207398812231405E-3</v>
      </c>
      <c r="AF27" s="57">
        <f>H27*'Factors and Conversions'!$E$10/10^9*310</f>
        <v>1.0135006110743802E-4</v>
      </c>
      <c r="AG27" s="57">
        <f>I27*'Factors and Conversions'!$E$10/10^9*310</f>
        <v>1.1519731908842977E-3</v>
      </c>
      <c r="AH27" s="57">
        <f>J27*'Factors and Conversions'!$E$10/10^9*310</f>
        <v>2.2025963206611567E-3</v>
      </c>
    </row>
    <row r="28" spans="1:34" x14ac:dyDescent="0.25">
      <c r="A28" s="31"/>
      <c r="B28" s="56"/>
      <c r="C28" s="27" t="s">
        <v>113</v>
      </c>
      <c r="D28" s="77">
        <f>D13/'Factors and Conversions'!$H$4/1000*'Factors and Conversions'!$C$10</f>
        <v>23900.320340184269</v>
      </c>
      <c r="E28" s="77">
        <f>E13/'Factors and Conversions'!$H$4/1000*'Factors and Conversions'!$C$10</f>
        <v>25576.543231750533</v>
      </c>
      <c r="F28" s="77">
        <f>F13/'Factors and Conversions'!$H$4/1000*'Factors and Conversions'!$C$10</f>
        <v>49815.759036144576</v>
      </c>
      <c r="G28" s="77">
        <f>G13/'Factors and Conversions'!$H$4/1000*'Factors and Conversions'!$C$10</f>
        <v>37486.159064493266</v>
      </c>
      <c r="H28" s="77">
        <f>H13/'Factors and Conversions'!$H$4/1000*'Factors and Conversions'!$C$10</f>
        <v>18634.659496810771</v>
      </c>
      <c r="I28" s="77">
        <f>I13/'Factors and Conversions'!$H$4/1000*'Factors and Conversions'!$C$10</f>
        <v>27478.490981573352</v>
      </c>
      <c r="J28" s="78">
        <f>J13/'Factors and Conversions'!$H$4/1000*'Factors and Conversions'!$C$10</f>
        <v>36322.322466335929</v>
      </c>
      <c r="L28" s="103">
        <f>D28*'Factors and Conversions'!$B$10/10^6</f>
        <v>1.7710137372076542</v>
      </c>
      <c r="M28" s="29">
        <f>E28*'Factors and Conversions'!$B$10/10^6</f>
        <v>1.8952218534727143</v>
      </c>
      <c r="N28" s="29">
        <f>F28*'Factors and Conversions'!$B$10/10^6</f>
        <v>3.6913477445783127</v>
      </c>
      <c r="O28" s="29">
        <f>G28*'Factors and Conversions'!$B$10/10^6</f>
        <v>2.7777243866789507</v>
      </c>
      <c r="P28" s="29">
        <f>H28*'Factors and Conversions'!$B$10/10^6</f>
        <v>1.3808282687136779</v>
      </c>
      <c r="Q28" s="29">
        <f>I28*'Factors and Conversions'!$B$10/10^6</f>
        <v>2.0361561817345852</v>
      </c>
      <c r="R28" s="29">
        <f>J28*'Factors and Conversions'!$B$10/10^6</f>
        <v>2.6914840947554923</v>
      </c>
      <c r="S28" s="29"/>
      <c r="T28" s="57">
        <f>D28*'Factors and Conversions'!$D$10/10^9*21</f>
        <v>1.5057201814316092E-3</v>
      </c>
      <c r="U28" s="57">
        <f>E28*'Factors and Conversions'!$D$10/10^9*21</f>
        <v>1.6113222236002834E-3</v>
      </c>
      <c r="V28" s="57">
        <f>F28*'Factors and Conversions'!$D$10/10^9*21</f>
        <v>3.1383928192771082E-3</v>
      </c>
      <c r="W28" s="57">
        <f>G28*'Factors and Conversions'!$D$10/10^9*21</f>
        <v>2.3616280210630759E-3</v>
      </c>
      <c r="X28" s="57">
        <f>H28*'Factors and Conversions'!$D$10/10^9*21</f>
        <v>1.1739835482990786E-3</v>
      </c>
      <c r="Y28" s="57">
        <f>I28*'Factors and Conversions'!$D$10/10^9*21</f>
        <v>1.7311449318391211E-3</v>
      </c>
      <c r="Z28" s="57">
        <f>J28*'Factors and Conversions'!$D$10/10^9*21</f>
        <v>2.2883063153791633E-3</v>
      </c>
      <c r="AA28" s="57"/>
      <c r="AB28" s="57">
        <f>D28*'Factors and Conversions'!$E$10/10^9*310</f>
        <v>4.4454595832742741E-3</v>
      </c>
      <c r="AC28" s="57">
        <f>E28*'Factors and Conversions'!$E$10/10^9*310</f>
        <v>4.7572370411055991E-3</v>
      </c>
      <c r="AD28" s="57">
        <f>F28*'Factors and Conversions'!$E$10/10^9*310</f>
        <v>9.2657311807228908E-3</v>
      </c>
      <c r="AE28" s="57">
        <f>G28*'Factors and Conversions'!$E$10/10^9*310</f>
        <v>6.9724255859957467E-3</v>
      </c>
      <c r="AF28" s="57">
        <f>H28*'Factors and Conversions'!$E$10/10^9*310</f>
        <v>3.466046666406803E-3</v>
      </c>
      <c r="AG28" s="57">
        <f>I28*'Factors and Conversions'!$E$10/10^9*310</f>
        <v>5.1109993225726437E-3</v>
      </c>
      <c r="AH28" s="57">
        <f>J28*'Factors and Conversions'!$E$10/10^9*310</f>
        <v>6.7559519787384822E-3</v>
      </c>
    </row>
    <row r="29" spans="1:34" x14ac:dyDescent="0.25">
      <c r="A29" s="58"/>
      <c r="B29" s="26" t="s">
        <v>18</v>
      </c>
      <c r="C29" s="27" t="s">
        <v>114</v>
      </c>
      <c r="D29" s="77">
        <f>D15/'Factors and Conversions'!$H$9/1000*'Factors and Conversions'!$C$15</f>
        <v>17049.096124328476</v>
      </c>
      <c r="E29" s="77">
        <f>E15/'Factors and Conversions'!$H$5/1000*'Factors and Conversions'!$C$15</f>
        <v>15216.929256198349</v>
      </c>
      <c r="F29" s="77">
        <f>F15/'Factors and Conversions'!$H$5/1000*'Factors and Conversions'!$C$15</f>
        <v>21423.111570247933</v>
      </c>
      <c r="G29" s="77">
        <f>G15/'Factors and Conversions'!$H$5/1000*'Factors and Conversions'!$C$15</f>
        <v>20574.426446280995</v>
      </c>
      <c r="H29" s="77">
        <f>H15/'Factors and Conversions'!$H$5/1000*'Factors and Conversions'!$C$15</f>
        <v>16270.933388429754</v>
      </c>
      <c r="I29" s="77">
        <f>I15/'Factors and Conversions'!$H$5/1000*'Factors and Conversions'!$C$15</f>
        <v>14005.131818181819</v>
      </c>
      <c r="J29" s="78">
        <f>J15/'Factors and Conversions'!$H$5/1000*'Factors and Conversions'!$C$15</f>
        <v>11739.330247933885</v>
      </c>
      <c r="L29" s="103">
        <f>D29*'Factors and Conversions'!$B$15/10^6</f>
        <v>1.2496987459132773</v>
      </c>
      <c r="M29" s="29">
        <f>E29*'Factors and Conversions'!$B$15/10^6</f>
        <v>1.1154009144793391</v>
      </c>
      <c r="N29" s="29">
        <f>F29*'Factors and Conversions'!$B$15/10^6</f>
        <v>1.5703140780991736</v>
      </c>
      <c r="O29" s="29">
        <f>G29*'Factors and Conversions'!$B$15/10^6</f>
        <v>1.5081054585123967</v>
      </c>
      <c r="P29" s="29">
        <f>H29*'Factors and Conversions'!$B$15/10^6</f>
        <v>1.192659417371901</v>
      </c>
      <c r="Q29" s="29">
        <f>I29*'Factors and Conversions'!$B$15/10^6</f>
        <v>1.0265761622727272</v>
      </c>
      <c r="R29" s="29">
        <f>J29*'Factors and Conversions'!$B$15/10^6</f>
        <v>0.86049290717355376</v>
      </c>
      <c r="S29" s="29"/>
      <c r="T29" s="57">
        <f>D29*'Factors and Conversions'!$D$15/10^9*21</f>
        <v>1.0740930558326939E-3</v>
      </c>
      <c r="U29" s="57">
        <f>E29*'Factors and Conversions'!$D$15/10^9*21</f>
        <v>9.5866654314049607E-4</v>
      </c>
      <c r="V29" s="57">
        <f>F29*'Factors and Conversions'!$D$15/10^9*21</f>
        <v>1.3496560289256198E-3</v>
      </c>
      <c r="W29" s="57">
        <f>G29*'Factors and Conversions'!$D$15/10^9*21</f>
        <v>1.2961888661157026E-3</v>
      </c>
      <c r="X29" s="57">
        <f>H29*'Factors and Conversions'!$D$15/10^9*21</f>
        <v>1.0250688034710745E-3</v>
      </c>
      <c r="Y29" s="57">
        <f>I29*'Factors and Conversions'!$D$15/10^9*21</f>
        <v>8.8232330454545457E-4</v>
      </c>
      <c r="Z29" s="57">
        <f>J29*'Factors and Conversions'!$D$15/10^9*21</f>
        <v>7.3957780561983467E-4</v>
      </c>
      <c r="AA29" s="57"/>
      <c r="AB29" s="57">
        <f>D29*'Factors and Conversions'!$E$15/10^9*310</f>
        <v>3.1711318791250967E-3</v>
      </c>
      <c r="AC29" s="57">
        <f>E29*'Factors and Conversions'!$E$15/10^9*310</f>
        <v>2.8303488416528927E-3</v>
      </c>
      <c r="AD29" s="57">
        <f>F29*'Factors and Conversions'!$E$15/10^9*310</f>
        <v>3.9846987520661152E-3</v>
      </c>
      <c r="AE29" s="57">
        <f>G29*'Factors and Conversions'!$E$15/10^9*310</f>
        <v>3.826843319008265E-3</v>
      </c>
      <c r="AF29" s="57">
        <f>H29*'Factors and Conversions'!$E$15/10^9*310</f>
        <v>3.0263936102479343E-3</v>
      </c>
      <c r="AG29" s="57">
        <f>I29*'Factors and Conversions'!$E$15/10^9*310</f>
        <v>2.6049545181818178E-3</v>
      </c>
      <c r="AH29" s="57">
        <f>J29*'Factors and Conversions'!$E$15/10^9*310</f>
        <v>2.1835154261157026E-3</v>
      </c>
    </row>
    <row r="30" spans="1:34" ht="16.5" thickBot="1" x14ac:dyDescent="0.3">
      <c r="A30" s="35"/>
      <c r="B30" s="83"/>
      <c r="C30" s="43" t="s">
        <v>51</v>
      </c>
      <c r="D30" s="79">
        <f>D16/'Factors and Conversions'!$H$5/1000*'Factors and Conversions'!$C$6</f>
        <v>3656.3148760330578</v>
      </c>
      <c r="E30" s="79">
        <f>E16/'Factors and Conversions'!$H$5/1000*'Factors and Conversions'!$C$6</f>
        <v>3770.318181818182</v>
      </c>
      <c r="F30" s="79">
        <f>F16/'Factors and Conversions'!$H$5/1000*'Factors and Conversions'!$C$6</f>
        <v>3807.7288925619837</v>
      </c>
      <c r="G30" s="79">
        <f>G16/'Factors and Conversions'!$H$5/1000*'Factors and Conversions'!$C$6</f>
        <v>7371.0329917355375</v>
      </c>
      <c r="H30" s="79">
        <f>H16/'Factors and Conversions'!$H$5/1000*'Factors and Conversions'!$C$6</f>
        <v>7576.7776859504138</v>
      </c>
      <c r="I30" s="79">
        <f>I16/'Factors and Conversions'!$H$5/1000*'Factors and Conversions'!$C$6</f>
        <v>3901.8235537190085</v>
      </c>
      <c r="J30" s="80">
        <f>J16/'Factors and Conversions'!$H$5/1000*'Factors and Conversions'!$C$6</f>
        <v>226.86942148760329</v>
      </c>
      <c r="L30" s="103">
        <f>D30*'Factors and Conversions'!$B$6/10^6</f>
        <v>0.27093293231404958</v>
      </c>
      <c r="M30" s="29">
        <f>E30*'Factors and Conversions'!$B$6/10^6</f>
        <v>0.27938057727272725</v>
      </c>
      <c r="N30" s="29">
        <f>F30*'Factors and Conversions'!$B$6/10^6</f>
        <v>0.28215271093884298</v>
      </c>
      <c r="O30" s="29">
        <f>G30*'Factors and Conversions'!$B$6/10^6</f>
        <v>0.54619354468760328</v>
      </c>
      <c r="P30" s="29">
        <f>H30*'Factors and Conversions'!$B$6/10^6</f>
        <v>0.56143922652892564</v>
      </c>
      <c r="Q30" s="29">
        <f>I30*'Factors and Conversions'!$B$6/10^6</f>
        <v>0.28912512533057855</v>
      </c>
      <c r="R30" s="29">
        <f>J30*'Factors and Conversions'!$B$6/10^6</f>
        <v>1.6811024132231404E-2</v>
      </c>
      <c r="S30" s="29"/>
      <c r="T30" s="57">
        <f>D30*'Factors and Conversions'!$D$6/10^9*21</f>
        <v>2.3034783719008261E-4</v>
      </c>
      <c r="U30" s="57">
        <f>E30*'Factors and Conversions'!$D$6/10^9*21</f>
        <v>2.3753004545454547E-4</v>
      </c>
      <c r="V30" s="57">
        <f>F30*'Factors and Conversions'!$D$6/10^9*21</f>
        <v>2.3988692023140497E-4</v>
      </c>
      <c r="W30" s="57">
        <f>G30*'Factors and Conversions'!$D$6/10^9*21</f>
        <v>4.6437507847933886E-4</v>
      </c>
      <c r="X30" s="57">
        <f>H30*'Factors and Conversions'!$D$6/10^9*21</f>
        <v>4.7733699421487603E-4</v>
      </c>
      <c r="Y30" s="57">
        <f>I30*'Factors and Conversions'!$D$6/10^9*21</f>
        <v>2.4581488388429753E-4</v>
      </c>
      <c r="Z30" s="57">
        <f>J30*'Factors and Conversions'!$D$6/10^9*21</f>
        <v>1.4292773553719008E-5</v>
      </c>
      <c r="AA30" s="57"/>
      <c r="AB30" s="57">
        <f>D30*'Factors and Conversions'!$E$6/10^9*310</f>
        <v>6.8007456694214874E-4</v>
      </c>
      <c r="AC30" s="57">
        <f>E30*'Factors and Conversions'!$E$6/10^9*310</f>
        <v>7.0127918181818168E-4</v>
      </c>
      <c r="AD30" s="57">
        <f>F30*'Factors and Conversions'!$E$6/10^9*310</f>
        <v>7.0823757401652899E-4</v>
      </c>
      <c r="AE30" s="57">
        <f>G30*'Factors and Conversions'!$E$6/10^9*310</f>
        <v>1.3710121364628098E-3</v>
      </c>
      <c r="AF30" s="57">
        <f>H30*'Factors and Conversions'!$E$6/10^9*310</f>
        <v>1.4092806495867767E-3</v>
      </c>
      <c r="AG30" s="57">
        <f>I30*'Factors and Conversions'!$E$6/10^9*310</f>
        <v>7.2573918099173569E-4</v>
      </c>
      <c r="AH30" s="57">
        <f>J30*'Factors and Conversions'!$E$6/10^9*310</f>
        <v>4.219771239669421E-5</v>
      </c>
    </row>
    <row r="31" spans="1:34" ht="16.5" thickBot="1" x14ac:dyDescent="0.3">
      <c r="D31" s="3"/>
      <c r="E31" s="3"/>
      <c r="F31" s="3"/>
      <c r="G31" s="3"/>
      <c r="H31" s="3"/>
      <c r="I31" s="3"/>
      <c r="J31" s="3"/>
      <c r="K31" s="2" t="s">
        <v>120</v>
      </c>
      <c r="L31" s="104">
        <f>SUM(L20:L30)</f>
        <v>635.55297818623524</v>
      </c>
      <c r="M31" s="45">
        <f t="shared" ref="M31:P31" si="1">SUM(M20:M30)</f>
        <v>682.14301388059027</v>
      </c>
      <c r="N31" s="45">
        <f t="shared" si="1"/>
        <v>724.8703225034867</v>
      </c>
      <c r="O31" s="45">
        <f t="shared" si="1"/>
        <v>761.53031438040409</v>
      </c>
      <c r="P31" s="45">
        <f t="shared" si="1"/>
        <v>800.3541813474443</v>
      </c>
      <c r="Q31" s="45">
        <f t="shared" ref="Q31" si="2">SUM(Q20:Q30)</f>
        <v>864.24438542072687</v>
      </c>
      <c r="R31" s="45">
        <f>SUM(R20:R30)</f>
        <v>928.13458949401002</v>
      </c>
      <c r="S31" s="45"/>
      <c r="T31" s="229">
        <f>SUM(T20:T30)</f>
        <v>0.14900899252110866</v>
      </c>
      <c r="U31" s="229">
        <f t="shared" ref="U31:Z31" si="3">SUM(U20:U30)</f>
        <v>0.15995193076116093</v>
      </c>
      <c r="V31" s="229">
        <f t="shared" si="3"/>
        <v>0.17001358024706006</v>
      </c>
      <c r="W31" s="229">
        <f t="shared" si="3"/>
        <v>0.17891541857114196</v>
      </c>
      <c r="X31" s="229">
        <f t="shared" si="3"/>
        <v>0.18643882519294228</v>
      </c>
      <c r="Y31" s="229">
        <f t="shared" ref="Y31" si="4">SUM(Y20:Y30)</f>
        <v>0.1994709321894593</v>
      </c>
      <c r="Z31" s="229">
        <f t="shared" si="3"/>
        <v>0.21250303918597627</v>
      </c>
      <c r="AA31" s="229"/>
      <c r="AB31" s="229">
        <f>SUM(AB20:AB30)</f>
        <v>2.7400053116783956</v>
      </c>
      <c r="AC31" s="229">
        <f t="shared" ref="AC31:AF31" si="5">SUM(AC20:AC30)</f>
        <v>2.9391219778838078</v>
      </c>
      <c r="AD31" s="229">
        <f t="shared" si="5"/>
        <v>3.1415017855355098</v>
      </c>
      <c r="AE31" s="229">
        <f t="shared" si="5"/>
        <v>3.2461619909119044</v>
      </c>
      <c r="AF31" s="229">
        <f t="shared" si="5"/>
        <v>3.4073259700887251</v>
      </c>
      <c r="AG31" s="229">
        <f t="shared" ref="AG31" si="6">SUM(AG20:AG30)</f>
        <v>3.7253977518522321</v>
      </c>
      <c r="AH31" s="230">
        <f>SUM(AH20:AH30)</f>
        <v>4.0434695336157382</v>
      </c>
    </row>
    <row r="32" spans="1:34" x14ac:dyDescent="0.25">
      <c r="A32" s="6" t="s">
        <v>80</v>
      </c>
    </row>
    <row r="33" spans="1:34" ht="16.5" thickBot="1" x14ac:dyDescent="0.3"/>
    <row r="34" spans="1:34" ht="16.5" thickBot="1" x14ac:dyDescent="0.3">
      <c r="A34" s="200" t="s">
        <v>104</v>
      </c>
      <c r="B34" s="202"/>
      <c r="C34" s="202" t="s">
        <v>30</v>
      </c>
      <c r="D34" s="202" t="s">
        <v>31</v>
      </c>
      <c r="E34" s="202" t="s">
        <v>32</v>
      </c>
      <c r="F34" s="202" t="s">
        <v>33</v>
      </c>
      <c r="G34" s="202" t="s">
        <v>34</v>
      </c>
      <c r="H34" s="202" t="s">
        <v>35</v>
      </c>
      <c r="I34" s="203" t="s">
        <v>0</v>
      </c>
    </row>
    <row r="35" spans="1:34" x14ac:dyDescent="0.25">
      <c r="A35" s="175"/>
      <c r="B35" s="176" t="s">
        <v>49</v>
      </c>
      <c r="C35" s="193">
        <v>217.81</v>
      </c>
      <c r="D35" s="193">
        <v>202.21</v>
      </c>
      <c r="E35" s="193">
        <v>146.01</v>
      </c>
      <c r="F35" s="193">
        <v>151.78</v>
      </c>
      <c r="G35" s="193">
        <v>148.79</v>
      </c>
      <c r="H35" s="193"/>
      <c r="I35" s="194">
        <v>118.18</v>
      </c>
    </row>
    <row r="36" spans="1:34" x14ac:dyDescent="0.25">
      <c r="A36" s="31"/>
      <c r="B36" s="27" t="s">
        <v>50</v>
      </c>
      <c r="C36" s="77">
        <v>56184.03</v>
      </c>
      <c r="D36" s="77">
        <v>53568.52</v>
      </c>
      <c r="E36" s="77">
        <v>73626.490000000005</v>
      </c>
      <c r="F36" s="77">
        <v>77416.34</v>
      </c>
      <c r="G36" s="77">
        <v>96657.13</v>
      </c>
      <c r="H36" s="77"/>
      <c r="I36" s="78">
        <v>113166.95</v>
      </c>
    </row>
    <row r="37" spans="1:34" x14ac:dyDescent="0.25">
      <c r="A37" s="31"/>
      <c r="B37" s="27" t="s">
        <v>51</v>
      </c>
      <c r="C37" s="77">
        <v>9974.86</v>
      </c>
      <c r="D37" s="77">
        <v>10737.96</v>
      </c>
      <c r="E37" s="77">
        <v>10082.14</v>
      </c>
      <c r="F37" s="77">
        <v>8217.2199999999993</v>
      </c>
      <c r="G37" s="77">
        <v>7753.53</v>
      </c>
      <c r="H37" s="77"/>
      <c r="I37" s="78">
        <v>8205.2199999999993</v>
      </c>
    </row>
    <row r="38" spans="1:34" x14ac:dyDescent="0.25">
      <c r="A38" s="31"/>
      <c r="B38" s="27" t="s">
        <v>52</v>
      </c>
      <c r="C38" s="77">
        <v>15207.18</v>
      </c>
      <c r="D38" s="77">
        <v>25584.57</v>
      </c>
      <c r="E38" s="77">
        <v>15306.09</v>
      </c>
      <c r="F38" s="77">
        <v>19738.71</v>
      </c>
      <c r="G38" s="77">
        <v>15435.17</v>
      </c>
      <c r="H38" s="77"/>
      <c r="I38" s="78">
        <v>20768.88</v>
      </c>
    </row>
    <row r="39" spans="1:34" ht="16.5" thickBot="1" x14ac:dyDescent="0.3">
      <c r="A39" s="35"/>
      <c r="B39" s="43" t="s">
        <v>53</v>
      </c>
      <c r="C39" s="79">
        <v>215.88</v>
      </c>
      <c r="D39" s="79">
        <v>383.43</v>
      </c>
      <c r="E39" s="79">
        <v>560.42999999999995</v>
      </c>
      <c r="F39" s="79">
        <v>609.04999999999995</v>
      </c>
      <c r="G39" s="79">
        <v>922.29</v>
      </c>
      <c r="H39" s="79"/>
      <c r="I39" s="80">
        <v>1750.42</v>
      </c>
    </row>
    <row r="40" spans="1:34" ht="16.5" thickBot="1" x14ac:dyDescent="0.3"/>
    <row r="41" spans="1:34" ht="16.5" thickBot="1" x14ac:dyDescent="0.3">
      <c r="A41" s="200" t="s">
        <v>82</v>
      </c>
      <c r="B41" s="202"/>
      <c r="C41" s="202"/>
      <c r="D41" s="202"/>
      <c r="E41" s="202"/>
      <c r="F41" s="202"/>
      <c r="G41" s="202"/>
      <c r="H41" s="202"/>
      <c r="I41" s="203"/>
    </row>
    <row r="42" spans="1:34" ht="20.25" customHeight="1" x14ac:dyDescent="0.25">
      <c r="A42" s="175" t="s">
        <v>83</v>
      </c>
      <c r="B42" s="176" t="s">
        <v>50</v>
      </c>
      <c r="C42" s="205">
        <v>3.0826140567200984</v>
      </c>
      <c r="D42" s="205">
        <v>3.0590394616090544</v>
      </c>
      <c r="E42" s="205">
        <v>3.0497102775236349</v>
      </c>
      <c r="F42" s="205">
        <v>3.0740854595757763</v>
      </c>
      <c r="G42" s="205">
        <v>3.0553009471432939</v>
      </c>
      <c r="H42" s="205"/>
      <c r="I42" s="206">
        <v>2.9550827423167849</v>
      </c>
    </row>
    <row r="43" spans="1:34" x14ac:dyDescent="0.25">
      <c r="A43" s="31"/>
      <c r="B43" s="27" t="s">
        <v>51</v>
      </c>
      <c r="C43" s="84">
        <f>3213*'Factors and Conversions'!$M$2</f>
        <v>3.73421286</v>
      </c>
      <c r="D43" s="84">
        <f>3213*'Factors and Conversions'!$M$2</f>
        <v>3.73421286</v>
      </c>
      <c r="E43" s="84">
        <f>3213*'Factors and Conversions'!$M$2</f>
        <v>3.73421286</v>
      </c>
      <c r="F43" s="84">
        <f>3213*'Factors and Conversions'!$M$2</f>
        <v>3.73421286</v>
      </c>
      <c r="G43" s="84">
        <f>3213*'Factors and Conversions'!$M$2</f>
        <v>3.73421286</v>
      </c>
      <c r="H43" s="84">
        <f>3213*'Factors and Conversions'!$M$2</f>
        <v>3.73421286</v>
      </c>
      <c r="I43" s="88">
        <f>3213*'Factors and Conversions'!$M$2</f>
        <v>3.73421286</v>
      </c>
    </row>
    <row r="44" spans="1:34" x14ac:dyDescent="0.25">
      <c r="A44" s="31"/>
      <c r="B44" s="27" t="s">
        <v>63</v>
      </c>
      <c r="C44" s="85">
        <f>1/36.5%</f>
        <v>2.7397260273972601</v>
      </c>
      <c r="D44" s="85">
        <f>1/36.7%</f>
        <v>2.7247956403269753</v>
      </c>
      <c r="E44" s="85">
        <f>1/36.9%</f>
        <v>2.7100271002710028</v>
      </c>
      <c r="F44" s="85">
        <f>1/40%</f>
        <v>2.5</v>
      </c>
      <c r="G44" s="85">
        <f>1/40.2%</f>
        <v>2.4875621890547261</v>
      </c>
      <c r="H44" s="85">
        <f>1/40.5%</f>
        <v>2.4691358024691357</v>
      </c>
      <c r="I44" s="89">
        <f>1/40.7%</f>
        <v>2.4570024570024569</v>
      </c>
    </row>
    <row r="45" spans="1:34" x14ac:dyDescent="0.25">
      <c r="A45" s="31"/>
      <c r="B45" s="27"/>
      <c r="C45" s="27"/>
      <c r="D45" s="27"/>
      <c r="E45" s="27"/>
      <c r="F45" s="27"/>
      <c r="G45" s="27"/>
      <c r="H45" s="27"/>
      <c r="I45" s="32"/>
    </row>
    <row r="46" spans="1:34" x14ac:dyDescent="0.25">
      <c r="A46" s="90" t="s">
        <v>86</v>
      </c>
      <c r="B46" s="27" t="s">
        <v>50</v>
      </c>
      <c r="C46" s="86">
        <f>C42*(1+5%)</f>
        <v>3.2367447595561036</v>
      </c>
      <c r="D46" s="86">
        <f t="shared" ref="D46:I46" si="7">D42*(1+5%)</f>
        <v>3.2119914346895073</v>
      </c>
      <c r="E46" s="86">
        <f t="shared" si="7"/>
        <v>3.2021957913998169</v>
      </c>
      <c r="F46" s="86">
        <f t="shared" si="7"/>
        <v>3.227789732554565</v>
      </c>
      <c r="G46" s="86">
        <f t="shared" si="7"/>
        <v>3.2080659945004588</v>
      </c>
      <c r="H46" s="86"/>
      <c r="I46" s="91">
        <f t="shared" si="7"/>
        <v>3.1028368794326244</v>
      </c>
    </row>
    <row r="47" spans="1:34" ht="16.5" thickBot="1" x14ac:dyDescent="0.3">
      <c r="A47" s="31"/>
      <c r="B47" s="27" t="s">
        <v>51</v>
      </c>
      <c r="C47" s="87">
        <f t="shared" ref="C47:I48" si="8">C43*(1+5%)</f>
        <v>3.920923503</v>
      </c>
      <c r="D47" s="87">
        <f t="shared" si="8"/>
        <v>3.920923503</v>
      </c>
      <c r="E47" s="87">
        <f t="shared" si="8"/>
        <v>3.920923503</v>
      </c>
      <c r="F47" s="87">
        <f t="shared" si="8"/>
        <v>3.920923503</v>
      </c>
      <c r="G47" s="87">
        <f t="shared" si="8"/>
        <v>3.920923503</v>
      </c>
      <c r="H47" s="87">
        <f t="shared" si="8"/>
        <v>3.920923503</v>
      </c>
      <c r="I47" s="92">
        <f t="shared" si="8"/>
        <v>3.920923503</v>
      </c>
    </row>
    <row r="48" spans="1:34" ht="16.5" thickBot="1" x14ac:dyDescent="0.3">
      <c r="A48" s="35"/>
      <c r="B48" s="43" t="s">
        <v>63</v>
      </c>
      <c r="C48" s="93">
        <f t="shared" si="8"/>
        <v>2.8767123287671232</v>
      </c>
      <c r="D48" s="93">
        <f t="shared" si="8"/>
        <v>2.8610354223433241</v>
      </c>
      <c r="E48" s="93">
        <f t="shared" si="8"/>
        <v>2.845528455284553</v>
      </c>
      <c r="F48" s="93">
        <f t="shared" si="8"/>
        <v>2.625</v>
      </c>
      <c r="G48" s="93">
        <f t="shared" si="8"/>
        <v>2.6119402985074625</v>
      </c>
      <c r="H48" s="93">
        <f t="shared" si="8"/>
        <v>2.5925925925925926</v>
      </c>
      <c r="I48" s="94">
        <f t="shared" si="8"/>
        <v>2.57985257985258</v>
      </c>
      <c r="K48" s="39"/>
      <c r="L48" s="40"/>
      <c r="M48" s="40"/>
      <c r="N48" s="40"/>
      <c r="O48" s="40"/>
      <c r="P48" s="40"/>
      <c r="Q48" s="40"/>
      <c r="R48" s="40"/>
      <c r="S48" s="40"/>
      <c r="T48" s="101" t="s">
        <v>118</v>
      </c>
      <c r="U48" s="40"/>
      <c r="V48" s="40"/>
      <c r="W48" s="40"/>
      <c r="X48" s="40"/>
      <c r="Y48" s="40"/>
      <c r="Z48" s="40"/>
      <c r="AA48" s="40"/>
      <c r="AB48" s="101" t="s">
        <v>119</v>
      </c>
      <c r="AC48" s="40"/>
      <c r="AD48" s="40"/>
      <c r="AE48" s="40"/>
      <c r="AF48" s="40"/>
      <c r="AG48" s="40"/>
      <c r="AH48" s="41"/>
    </row>
    <row r="49" spans="1:34" ht="16.5" thickBot="1" x14ac:dyDescent="0.3">
      <c r="K49" s="102" t="s">
        <v>117</v>
      </c>
      <c r="L49" s="27" t="s">
        <v>30</v>
      </c>
      <c r="M49" s="27" t="s">
        <v>31</v>
      </c>
      <c r="N49" s="27" t="s">
        <v>32</v>
      </c>
      <c r="O49" s="27" t="s">
        <v>33</v>
      </c>
      <c r="P49" s="27" t="s">
        <v>34</v>
      </c>
      <c r="Q49" s="27"/>
      <c r="R49" s="27" t="s">
        <v>0</v>
      </c>
      <c r="S49" s="27"/>
      <c r="T49" s="27" t="s">
        <v>30</v>
      </c>
      <c r="U49" s="27" t="s">
        <v>31</v>
      </c>
      <c r="V49" s="27" t="s">
        <v>32</v>
      </c>
      <c r="W49" s="27" t="s">
        <v>33</v>
      </c>
      <c r="X49" s="27" t="s">
        <v>34</v>
      </c>
      <c r="Y49" s="27"/>
      <c r="Z49" s="27" t="s">
        <v>0</v>
      </c>
      <c r="AA49" s="27"/>
      <c r="AB49" s="27" t="s">
        <v>30</v>
      </c>
      <c r="AC49" s="27" t="s">
        <v>31</v>
      </c>
      <c r="AD49" s="27" t="s">
        <v>32</v>
      </c>
      <c r="AE49" s="27" t="s">
        <v>33</v>
      </c>
      <c r="AF49" s="27" t="s">
        <v>34</v>
      </c>
      <c r="AG49" s="27"/>
      <c r="AH49" s="32" t="s">
        <v>0</v>
      </c>
    </row>
    <row r="50" spans="1:34" x14ac:dyDescent="0.25">
      <c r="A50" s="122" t="s">
        <v>101</v>
      </c>
      <c r="B50" s="40" t="s">
        <v>50</v>
      </c>
      <c r="C50" s="96">
        <f>C36*C46*'Factors and Conversions'!$M$3/10^3</f>
        <v>654672.11282367446</v>
      </c>
      <c r="D50" s="96">
        <f>D36*D46*'Factors and Conversions'!$M$3/10^3</f>
        <v>619421.85867237672</v>
      </c>
      <c r="E50" s="96">
        <f>E36*E46*'Factors and Conversions'!$M$3/10^3</f>
        <v>848759.17108874652</v>
      </c>
      <c r="F50" s="96">
        <f>F36*F46*'Factors and Conversions'!$M$3/10^3</f>
        <v>899581.20258223172</v>
      </c>
      <c r="G50" s="96">
        <f>G36*G46*'Factors and Conversions'!$M$3/10^3</f>
        <v>1116296.8267644364</v>
      </c>
      <c r="H50" s="96">
        <f>(G50+I50)/2</f>
        <v>1190197.8681694523</v>
      </c>
      <c r="I50" s="97">
        <f>I36*I46*'Factors and Conversions'!$M$3/10^3</f>
        <v>1264098.9095744682</v>
      </c>
      <c r="K50" s="31"/>
      <c r="L50" s="29">
        <f>C50*'Factors and Conversions'!$B$4/10^6</f>
        <v>62.724135129636252</v>
      </c>
      <c r="M50" s="29">
        <f>D50*'Factors and Conversions'!$B$4/10^6</f>
        <v>59.346808279400413</v>
      </c>
      <c r="N50" s="29">
        <f>E50*'Factors and Conversions'!$B$4/10^6</f>
        <v>81.319616182012808</v>
      </c>
      <c r="O50" s="29">
        <f>F50*'Factors and Conversions'!$B$4/10^6</f>
        <v>86.188875019403625</v>
      </c>
      <c r="P50" s="29">
        <f>G50*'Factors and Conversions'!$B$4/10^6</f>
        <v>106.95239897230066</v>
      </c>
      <c r="Q50" s="29">
        <f>H50*'Factors and Conversions'!$B$4/10^6</f>
        <v>114.03285774931523</v>
      </c>
      <c r="R50" s="29">
        <f>I50*'Factors and Conversions'!$B$4/10^6</f>
        <v>121.1133165263298</v>
      </c>
      <c r="S50" s="29"/>
      <c r="T50" s="57">
        <f>C50*'Factors and Conversions'!$D$4/10^9*21</f>
        <v>1.3748114369297165E-2</v>
      </c>
      <c r="U50" s="57">
        <f>D50*'Factors and Conversions'!$D$4/10^9*21</f>
        <v>1.3007859032119911E-2</v>
      </c>
      <c r="V50" s="57">
        <f>E50*'Factors and Conversions'!$D$4/10^9*21</f>
        <v>1.7823942592863677E-2</v>
      </c>
      <c r="W50" s="57">
        <f>F50*'Factors and Conversions'!$D$4/10^9*21</f>
        <v>1.8891205254226866E-2</v>
      </c>
      <c r="X50" s="57">
        <f>G50*'Factors and Conversions'!$D$4/10^9*21</f>
        <v>2.3442233362053162E-2</v>
      </c>
      <c r="Y50" s="57">
        <f>H50*'Factors and Conversions'!$D$4/10^9*21</f>
        <v>2.4994155231558499E-2</v>
      </c>
      <c r="Z50" s="57">
        <f>I50*'Factors and Conversions'!$D$4/10^9*21</f>
        <v>2.6546077101063832E-2</v>
      </c>
      <c r="AA50" s="57"/>
      <c r="AB50" s="57">
        <f>C50*'Factors and Conversions'!$E$4*310/10^9</f>
        <v>0.28412769696547474</v>
      </c>
      <c r="AC50" s="57">
        <f>D50*'Factors and Conversions'!$E$4*310/10^9</f>
        <v>0.2688290866638115</v>
      </c>
      <c r="AD50" s="57">
        <f>E50*'Factors and Conversions'!$E$4*310/10^9</f>
        <v>0.36836148025251597</v>
      </c>
      <c r="AE50" s="57">
        <f>F50*'Factors and Conversions'!$E$4*310/10^9</f>
        <v>0.39041824192068852</v>
      </c>
      <c r="AF50" s="57">
        <f>G50*'Factors and Conversions'!$E$4*310/10^9</f>
        <v>0.48447282281576537</v>
      </c>
      <c r="AG50" s="57">
        <f>H50*'Factors and Conversions'!$E$4*310/10^9</f>
        <v>0.51654587478554226</v>
      </c>
      <c r="AH50" s="57">
        <f>I50*'Factors and Conversions'!$E$4*310/10^9</f>
        <v>0.54861892675531909</v>
      </c>
    </row>
    <row r="51" spans="1:34" x14ac:dyDescent="0.25">
      <c r="A51" s="31"/>
      <c r="B51" s="27" t="s">
        <v>51</v>
      </c>
      <c r="C51" s="95">
        <f>C37*C47*'Factors and Conversions'!$M$3/10^3</f>
        <v>140798.38684728451</v>
      </c>
      <c r="D51" s="95">
        <f>D37*D47*'Factors and Conversions'!$M$3/10^3</f>
        <v>151569.79105778594</v>
      </c>
      <c r="E51" s="95">
        <f>E37*E47*'Factors and Conversions'!$M$3/10^3</f>
        <v>142312.6788715311</v>
      </c>
      <c r="F51" s="95">
        <f>F37*F47*'Factors and Conversions'!$M$3/10^3</f>
        <v>115988.72769835796</v>
      </c>
      <c r="G51" s="95">
        <f>G37*G47*'Factors and Conversions'!$M$3/10^3</f>
        <v>109443.59282957613</v>
      </c>
      <c r="H51" s="95">
        <f t="shared" ref="H51:H52" si="9">(G51+I51)/2</f>
        <v>112631.46831630226</v>
      </c>
      <c r="I51" s="98">
        <f>I37*I47*'Factors and Conversions'!$M$3/10^3</f>
        <v>115819.34380302837</v>
      </c>
      <c r="K51" s="31"/>
      <c r="L51" s="29">
        <f>C51*'Factors and Conversions'!$B$6/10^6</f>
        <v>10.43316046538378</v>
      </c>
      <c r="M51" s="29">
        <f>D51*'Factors and Conversions'!$B$6/10^6</f>
        <v>11.231321517381938</v>
      </c>
      <c r="N51" s="29">
        <f>E51*'Factors and Conversions'!$B$6/10^6</f>
        <v>10.545369504380453</v>
      </c>
      <c r="O51" s="29">
        <f>F51*'Factors and Conversions'!$B$6/10^6</f>
        <v>8.5947647224483248</v>
      </c>
      <c r="P51" s="29">
        <f>G51*'Factors and Conversions'!$B$6/10^6</f>
        <v>8.1097702286715894</v>
      </c>
      <c r="Q51" s="29">
        <f>H51*'Factors and Conversions'!$B$6/10^6</f>
        <v>8.3459918022379966</v>
      </c>
      <c r="R51" s="29">
        <f>I51*'Factors and Conversions'!$B$6/10^6</f>
        <v>8.5822133758044021</v>
      </c>
      <c r="S51" s="29"/>
      <c r="T51" s="57">
        <f>C51*'Factors and Conversions'!$D$6/10^9*21</f>
        <v>8.8702983713789246E-3</v>
      </c>
      <c r="U51" s="57">
        <f>D51*'Factors and Conversions'!$D$6/10^9*21</f>
        <v>9.5488968366405132E-3</v>
      </c>
      <c r="V51" s="57">
        <f>E51*'Factors and Conversions'!$D$6/10^9*21</f>
        <v>8.9656987689064587E-3</v>
      </c>
      <c r="W51" s="57">
        <f>F51*'Factors and Conversions'!$D$6/10^9*21</f>
        <v>7.3072898449965517E-3</v>
      </c>
      <c r="X51" s="57">
        <f>G51*'Factors and Conversions'!$D$6/10^9*21</f>
        <v>6.8949463482632966E-3</v>
      </c>
      <c r="Y51" s="57">
        <f>H51*'Factors and Conversions'!$D$6/10^9*21</f>
        <v>7.0957825039270417E-3</v>
      </c>
      <c r="Z51" s="57">
        <f>I51*'Factors and Conversions'!$D$6/10^9*21</f>
        <v>7.2966186595907886E-3</v>
      </c>
      <c r="AA51" s="57"/>
      <c r="AB51" s="57">
        <f>C51*'Factors and Conversions'!$E$6*310/10^9</f>
        <v>2.6188499953594915E-2</v>
      </c>
      <c r="AC51" s="57">
        <f>D51*'Factors and Conversions'!$E$6*310/10^9</f>
        <v>2.8191981136748184E-2</v>
      </c>
      <c r="AD51" s="57">
        <f>E51*'Factors and Conversions'!$E$6*310/10^9</f>
        <v>2.6470158270104783E-2</v>
      </c>
      <c r="AE51" s="57">
        <f>F51*'Factors and Conversions'!$E$6*310/10^9</f>
        <v>2.1573903351894581E-2</v>
      </c>
      <c r="AF51" s="57">
        <f>G51*'Factors and Conversions'!$E$6*310/10^9</f>
        <v>2.0356508266301161E-2</v>
      </c>
      <c r="AG51" s="57">
        <f>H51*'Factors and Conversions'!$E$6*310/10^9</f>
        <v>2.0949453106832217E-2</v>
      </c>
      <c r="AH51" s="228">
        <f>I51*'Factors and Conversions'!$E$6*310/10^9</f>
        <v>2.1542397947363276E-2</v>
      </c>
    </row>
    <row r="52" spans="1:34" ht="16.5" thickBot="1" x14ac:dyDescent="0.3">
      <c r="A52" s="35"/>
      <c r="B52" s="43" t="s">
        <v>63</v>
      </c>
      <c r="C52" s="99">
        <f>C38*C48*'Factors and Conversions'!$M$3/10^3</f>
        <v>157488.05589041096</v>
      </c>
      <c r="D52" s="99">
        <f>D38*D48*'Factors and Conversions'!$M$3/10^3</f>
        <v>263514.09972752043</v>
      </c>
      <c r="E52" s="99">
        <f>E38*E48*'Factors and Conversions'!$M$3/10^3</f>
        <v>156794.09268292683</v>
      </c>
      <c r="F52" s="99">
        <f>F38*F48*'Factors and Conversions'!$M$3/10^3</f>
        <v>186530.8095</v>
      </c>
      <c r="G52" s="99">
        <f>G38*G48*'Factors and Conversions'!$M$3/10^3</f>
        <v>145136.67313432836</v>
      </c>
      <c r="H52" s="99">
        <f t="shared" si="9"/>
        <v>169013.50413473175</v>
      </c>
      <c r="I52" s="100">
        <f>I38*I48*'Factors and Conversions'!$M$3/10^3</f>
        <v>192890.33513513513</v>
      </c>
      <c r="K52" s="31"/>
      <c r="L52" s="29">
        <f>C52*'Factors and Conversions'!$B$11/10^6</f>
        <v>8.8350799354520557</v>
      </c>
      <c r="M52" s="29">
        <f>D52*'Factors and Conversions'!$B$11/10^6</f>
        <v>14.783140994713897</v>
      </c>
      <c r="N52" s="29">
        <f>E52*'Factors and Conversions'!$B$11/10^6</f>
        <v>8.7961485995121951</v>
      </c>
      <c r="O52" s="29">
        <f>F52*'Factors and Conversions'!$B$11/10^6</f>
        <v>10.464378412949999</v>
      </c>
      <c r="P52" s="29">
        <f>G52*'Factors and Conversions'!$B$11/10^6</f>
        <v>8.1421673628358224</v>
      </c>
      <c r="Q52" s="29">
        <f>H52*'Factors and Conversions'!$B$11/10^6</f>
        <v>9.4816575819584497</v>
      </c>
      <c r="R52" s="29">
        <f>I52*'Factors and Conversions'!$B$11/10^6</f>
        <v>10.821147801081082</v>
      </c>
      <c r="S52" s="29"/>
      <c r="T52" s="57">
        <f>C52*'Factors and Conversions'!$D$11/10^9*21</f>
        <v>3.3072491736986301E-3</v>
      </c>
      <c r="U52" s="57">
        <f>D52*'Factors and Conversions'!$D$11/10^9*21</f>
        <v>5.5337960942779289E-3</v>
      </c>
      <c r="V52" s="57">
        <f>E52*'Factors and Conversions'!$D$11/10^9*21</f>
        <v>3.2926759463414632E-3</v>
      </c>
      <c r="W52" s="57">
        <f>F52*'Factors and Conversions'!$D$11/10^9*21</f>
        <v>3.9171469994999999E-3</v>
      </c>
      <c r="X52" s="57">
        <f>G52*'Factors and Conversions'!$D$11/10^9*21</f>
        <v>3.0478701358208956E-3</v>
      </c>
      <c r="Y52" s="57">
        <f>H52*'Factors and Conversions'!$D$11/10^9*21</f>
        <v>3.5492835868293666E-3</v>
      </c>
      <c r="Z52" s="57">
        <f>I52*'Factors and Conversions'!$D$11/10^9*21</f>
        <v>4.0506970378378377E-3</v>
      </c>
      <c r="AA52" s="57"/>
      <c r="AB52" s="57">
        <f>C52*'Factors and Conversions'!$E$11*310/10^9</f>
        <v>4.8821297326027404E-3</v>
      </c>
      <c r="AC52" s="57">
        <f>D52*'Factors and Conversions'!$E$11*310/10^9</f>
        <v>8.1689370915531342E-3</v>
      </c>
      <c r="AD52" s="57">
        <f>E52*'Factors and Conversions'!$E$11*310/10^9</f>
        <v>4.8606168731707318E-3</v>
      </c>
      <c r="AE52" s="57">
        <f>F52*'Factors and Conversions'!$E$11*310/10^9</f>
        <v>5.7824550944999996E-3</v>
      </c>
      <c r="AF52" s="57">
        <f>G52*'Factors and Conversions'!$E$11*310/10^9</f>
        <v>4.4992368671641801E-3</v>
      </c>
      <c r="AG52" s="57">
        <f>H52*'Factors and Conversions'!$E$11*310/10^9</f>
        <v>5.2394186281766834E-3</v>
      </c>
      <c r="AH52" s="228">
        <f>I52*'Factors and Conversions'!$E$11*310/10^9</f>
        <v>5.9796003891891894E-3</v>
      </c>
    </row>
    <row r="53" spans="1:34" x14ac:dyDescent="0.25">
      <c r="K53" s="31" t="s">
        <v>120</v>
      </c>
      <c r="L53" s="29">
        <f t="shared" ref="L53:R53" si="10">SUM(L50:L52)</f>
        <v>81.992375530472088</v>
      </c>
      <c r="M53" s="29">
        <f t="shared" si="10"/>
        <v>85.361270791496253</v>
      </c>
      <c r="N53" s="29">
        <f t="shared" si="10"/>
        <v>100.66113428590545</v>
      </c>
      <c r="O53" s="29">
        <f t="shared" si="10"/>
        <v>105.24801815480194</v>
      </c>
      <c r="P53" s="29">
        <f t="shared" si="10"/>
        <v>123.20433656380807</v>
      </c>
      <c r="Q53" s="29">
        <f t="shared" si="10"/>
        <v>131.86050713351167</v>
      </c>
      <c r="R53" s="29">
        <f t="shared" si="10"/>
        <v>140.51667770321529</v>
      </c>
      <c r="S53" s="29"/>
      <c r="T53" s="57">
        <f>SUM(T50:T52)</f>
        <v>2.5925661914374717E-2</v>
      </c>
      <c r="U53" s="57">
        <f t="shared" ref="U53:Z53" si="11">SUM(U50:U52)</f>
        <v>2.8090551963038352E-2</v>
      </c>
      <c r="V53" s="57">
        <f t="shared" si="11"/>
        <v>3.00823173081116E-2</v>
      </c>
      <c r="W53" s="57">
        <f t="shared" si="11"/>
        <v>3.0115642098723416E-2</v>
      </c>
      <c r="X53" s="57">
        <f t="shared" si="11"/>
        <v>3.3385049846137355E-2</v>
      </c>
      <c r="Y53" s="57">
        <f t="shared" ref="Y53" si="12">SUM(Y50:Y52)</f>
        <v>3.563922132231491E-2</v>
      </c>
      <c r="Z53" s="57">
        <f t="shared" si="11"/>
        <v>3.7893392798492458E-2</v>
      </c>
      <c r="AA53" s="57"/>
      <c r="AB53" s="57">
        <f>SUM(AB50:AB52)</f>
        <v>0.31519832665167236</v>
      </c>
      <c r="AC53" s="57">
        <f t="shared" ref="AC53" si="13">SUM(AC50:AC52)</f>
        <v>0.30519000489211284</v>
      </c>
      <c r="AD53" s="57">
        <f t="shared" ref="AD53" si="14">SUM(AD50:AD52)</f>
        <v>0.39969225539579151</v>
      </c>
      <c r="AE53" s="57">
        <f t="shared" ref="AE53" si="15">SUM(AE50:AE52)</f>
        <v>0.41777460036708308</v>
      </c>
      <c r="AF53" s="57">
        <f t="shared" ref="AF53:AG53" si="16">SUM(AF50:AF52)</f>
        <v>0.50932856794923065</v>
      </c>
      <c r="AG53" s="57">
        <f t="shared" si="16"/>
        <v>0.54273474652055109</v>
      </c>
      <c r="AH53" s="228">
        <f t="shared" ref="AH53" si="17">SUM(AH50:AH52)</f>
        <v>0.57614092509187154</v>
      </c>
    </row>
    <row r="54" spans="1:34" x14ac:dyDescent="0.25">
      <c r="K54" s="31"/>
      <c r="L54" s="29"/>
      <c r="M54" s="29"/>
      <c r="N54" s="29"/>
      <c r="O54" s="29"/>
      <c r="P54" s="29"/>
      <c r="Q54" s="29"/>
      <c r="R54" s="29"/>
      <c r="S54" s="29"/>
      <c r="T54" s="57"/>
      <c r="U54" s="57"/>
      <c r="V54" s="57"/>
      <c r="W54" s="57"/>
      <c r="X54" s="57"/>
      <c r="Y54" s="57"/>
      <c r="Z54" s="57"/>
      <c r="AA54" s="57"/>
      <c r="AB54" s="57"/>
      <c r="AC54" s="57"/>
      <c r="AD54" s="57"/>
      <c r="AE54" s="57"/>
      <c r="AF54" s="57"/>
      <c r="AG54" s="57"/>
      <c r="AH54" s="228"/>
    </row>
    <row r="55" spans="1:34" ht="16.5" thickBot="1" x14ac:dyDescent="0.3">
      <c r="C55" s="19"/>
      <c r="D55" s="19"/>
      <c r="E55" s="19"/>
      <c r="F55" s="19"/>
      <c r="G55" s="19"/>
      <c r="H55" s="19"/>
      <c r="I55" s="19"/>
      <c r="K55" s="35" t="s">
        <v>121</v>
      </c>
      <c r="L55" s="45">
        <f>L53+L31</f>
        <v>717.54535371670727</v>
      </c>
      <c r="M55" s="45">
        <f>M53+M31</f>
        <v>767.50428467208656</v>
      </c>
      <c r="N55" s="45">
        <f>N53+N31</f>
        <v>825.53145678939211</v>
      </c>
      <c r="O55" s="45">
        <f>O53+O31</f>
        <v>866.778332535206</v>
      </c>
      <c r="P55" s="45">
        <f>P53+P31</f>
        <v>923.55851791125235</v>
      </c>
      <c r="Q55" s="60"/>
      <c r="R55" s="45">
        <f>R53+R31</f>
        <v>1068.6512671972253</v>
      </c>
      <c r="S55" s="45"/>
      <c r="T55" s="45">
        <f>T53+T31</f>
        <v>0.17493465443548339</v>
      </c>
      <c r="U55" s="45">
        <f>U53+U31</f>
        <v>0.18804248272419929</v>
      </c>
      <c r="V55" s="45">
        <f>V53+V31</f>
        <v>0.20009589755517165</v>
      </c>
      <c r="W55" s="45">
        <f>W53+W31</f>
        <v>0.20903106066986538</v>
      </c>
      <c r="X55" s="45">
        <f>X53+X31</f>
        <v>0.21982387503907963</v>
      </c>
      <c r="Y55" s="45"/>
      <c r="Z55" s="45">
        <f>Z53+Z31</f>
        <v>0.2503964319844687</v>
      </c>
      <c r="AA55" s="45"/>
      <c r="AB55" s="45">
        <f>AB53+AB31</f>
        <v>3.055203638330068</v>
      </c>
      <c r="AC55" s="45">
        <f t="shared" ref="AC55:AH55" si="18">AC53+AC31</f>
        <v>3.2443119827759208</v>
      </c>
      <c r="AD55" s="45">
        <f t="shared" si="18"/>
        <v>3.5411940409313014</v>
      </c>
      <c r="AE55" s="45">
        <f t="shared" si="18"/>
        <v>3.6639365912789876</v>
      </c>
      <c r="AF55" s="45">
        <f t="shared" si="18"/>
        <v>3.9166545380379558</v>
      </c>
      <c r="AG55" s="45"/>
      <c r="AH55" s="53">
        <f t="shared" si="18"/>
        <v>4.6196104587076094</v>
      </c>
    </row>
    <row r="56" spans="1:34" x14ac:dyDescent="0.25">
      <c r="C56" s="19"/>
      <c r="D56" s="19"/>
      <c r="E56" s="19"/>
      <c r="F56" s="19"/>
      <c r="G56" s="19"/>
      <c r="H56" s="19"/>
      <c r="I56" s="19"/>
    </row>
    <row r="57" spans="1:34" ht="16.5" thickBot="1" x14ac:dyDescent="0.3"/>
    <row r="58" spans="1:34" ht="16.5" thickBot="1" x14ac:dyDescent="0.3">
      <c r="A58" s="167"/>
      <c r="B58" s="168"/>
      <c r="C58" s="241" t="s">
        <v>137</v>
      </c>
      <c r="D58" s="241"/>
      <c r="E58" s="241"/>
      <c r="F58" s="241"/>
      <c r="G58" s="241"/>
      <c r="H58" s="241"/>
      <c r="I58" s="242"/>
      <c r="K58" s="211" t="s">
        <v>138</v>
      </c>
      <c r="L58" s="212"/>
      <c r="M58" s="212"/>
      <c r="N58" s="212"/>
      <c r="O58" s="212"/>
      <c r="P58" s="212"/>
      <c r="Q58" s="212"/>
      <c r="R58" s="212"/>
      <c r="S58" s="212" t="s">
        <v>141</v>
      </c>
      <c r="T58" s="212"/>
      <c r="U58" s="212"/>
      <c r="V58" s="212"/>
      <c r="W58" s="212"/>
      <c r="X58" s="212"/>
      <c r="Y58" s="212"/>
      <c r="Z58" s="212"/>
      <c r="AA58" s="212" t="s">
        <v>204</v>
      </c>
      <c r="AB58" s="212"/>
      <c r="AC58" s="212"/>
      <c r="AD58" s="212"/>
      <c r="AE58" s="212"/>
      <c r="AF58" s="212"/>
      <c r="AG58" s="213"/>
    </row>
    <row r="59" spans="1:34" ht="16.5" thickBot="1" x14ac:dyDescent="0.3">
      <c r="A59" s="207" t="s">
        <v>79</v>
      </c>
      <c r="B59" s="11"/>
      <c r="C59" s="208" t="s">
        <v>30</v>
      </c>
      <c r="D59" s="209" t="s">
        <v>31</v>
      </c>
      <c r="E59" s="209" t="s">
        <v>32</v>
      </c>
      <c r="F59" s="209" t="s">
        <v>33</v>
      </c>
      <c r="G59" s="209" t="s">
        <v>34</v>
      </c>
      <c r="H59" s="209" t="s">
        <v>35</v>
      </c>
      <c r="I59" s="210" t="s">
        <v>0</v>
      </c>
      <c r="K59" s="197" t="s">
        <v>30</v>
      </c>
      <c r="L59" s="198" t="s">
        <v>31</v>
      </c>
      <c r="M59" s="198" t="s">
        <v>32</v>
      </c>
      <c r="N59" s="198" t="s">
        <v>33</v>
      </c>
      <c r="O59" s="198" t="s">
        <v>34</v>
      </c>
      <c r="P59" s="198" t="s">
        <v>35</v>
      </c>
      <c r="Q59" s="198" t="s">
        <v>0</v>
      </c>
      <c r="R59" s="202"/>
      <c r="S59" s="201" t="s">
        <v>30</v>
      </c>
      <c r="T59" s="198" t="s">
        <v>31</v>
      </c>
      <c r="U59" s="198" t="s">
        <v>32</v>
      </c>
      <c r="V59" s="198" t="s">
        <v>33</v>
      </c>
      <c r="W59" s="198" t="s">
        <v>34</v>
      </c>
      <c r="X59" s="198" t="s">
        <v>35</v>
      </c>
      <c r="Y59" s="198" t="s">
        <v>0</v>
      </c>
      <c r="Z59" s="202"/>
      <c r="AA59" s="201" t="s">
        <v>30</v>
      </c>
      <c r="AB59" s="198" t="s">
        <v>31</v>
      </c>
      <c r="AC59" s="198" t="s">
        <v>32</v>
      </c>
      <c r="AD59" s="198" t="s">
        <v>33</v>
      </c>
      <c r="AE59" s="198" t="s">
        <v>34</v>
      </c>
      <c r="AF59" s="198" t="s">
        <v>35</v>
      </c>
      <c r="AG59" s="199" t="s">
        <v>0</v>
      </c>
    </row>
    <row r="60" spans="1:34" x14ac:dyDescent="0.25">
      <c r="A60" s="161"/>
      <c r="B60" s="11" t="s">
        <v>106</v>
      </c>
      <c r="C60" s="120">
        <f t="shared" ref="C60:I61" si="19">L20</f>
        <v>574.62375840870004</v>
      </c>
      <c r="D60" s="120">
        <f t="shared" si="19"/>
        <v>615.3307179018999</v>
      </c>
      <c r="E60" s="120">
        <f t="shared" si="19"/>
        <v>660.30321907550001</v>
      </c>
      <c r="F60" s="120">
        <f t="shared" si="19"/>
        <v>681.28863092289998</v>
      </c>
      <c r="G60" s="120">
        <f t="shared" si="19"/>
        <v>715.75902242129996</v>
      </c>
      <c r="H60" s="120">
        <f t="shared" si="19"/>
        <v>785.35618727279996</v>
      </c>
      <c r="I60" s="162">
        <f t="shared" si="19"/>
        <v>854.95335212429995</v>
      </c>
      <c r="K60" s="214">
        <f t="shared" ref="K60:Q66" si="20">T20/21</f>
        <v>5.9975342700000003E-3</v>
      </c>
      <c r="L60" s="179">
        <f t="shared" si="20"/>
        <v>6.4224059900000003E-3</v>
      </c>
      <c r="M60" s="179">
        <f t="shared" si="20"/>
        <v>6.8917985499999997E-3</v>
      </c>
      <c r="N60" s="179">
        <f t="shared" si="20"/>
        <v>7.1108300899999999E-3</v>
      </c>
      <c r="O60" s="179">
        <f t="shared" si="20"/>
        <v>7.4706087299999998E-3</v>
      </c>
      <c r="P60" s="179">
        <f t="shared" si="20"/>
        <v>8.1970168799999996E-3</v>
      </c>
      <c r="Q60" s="179">
        <f t="shared" si="20"/>
        <v>8.9234250299999995E-3</v>
      </c>
      <c r="R60" s="179"/>
      <c r="S60" s="179">
        <f t="shared" ref="S60:Y66" si="21">AB20/310</f>
        <v>8.3965479779999977E-3</v>
      </c>
      <c r="T60" s="179">
        <f t="shared" si="21"/>
        <v>8.9913683859999989E-3</v>
      </c>
      <c r="U60" s="179">
        <f t="shared" si="21"/>
        <v>9.6485179699999993E-3</v>
      </c>
      <c r="V60" s="179">
        <f t="shared" si="21"/>
        <v>9.9551621259999969E-3</v>
      </c>
      <c r="W60" s="179">
        <f t="shared" si="21"/>
        <v>1.0458852221999999E-2</v>
      </c>
      <c r="X60" s="179">
        <f t="shared" si="21"/>
        <v>1.1475823631999999E-2</v>
      </c>
      <c r="Y60" s="179">
        <f t="shared" si="21"/>
        <v>1.2492795041999996E-2</v>
      </c>
      <c r="Z60" s="176"/>
      <c r="AA60" s="179">
        <f t="shared" ref="AA60:AG66" si="22">C60+K60*21+S60*310</f>
        <v>577.35263650155002</v>
      </c>
      <c r="AB60" s="179">
        <f t="shared" si="22"/>
        <v>618.25291262734993</v>
      </c>
      <c r="AC60" s="179">
        <f t="shared" si="22"/>
        <v>663.43898741574992</v>
      </c>
      <c r="AD60" s="179">
        <f t="shared" si="22"/>
        <v>684.52405861385</v>
      </c>
      <c r="AE60" s="179">
        <f t="shared" si="22"/>
        <v>719.15814939345</v>
      </c>
      <c r="AF60" s="179">
        <f t="shared" si="22"/>
        <v>789.0858299532</v>
      </c>
      <c r="AG60" s="192">
        <f t="shared" si="22"/>
        <v>859.01351051294989</v>
      </c>
    </row>
    <row r="61" spans="1:34" x14ac:dyDescent="0.25">
      <c r="A61" s="161"/>
      <c r="B61" s="11" t="s">
        <v>107</v>
      </c>
      <c r="C61" s="120">
        <f t="shared" si="19"/>
        <v>3.3033974580966996</v>
      </c>
      <c r="D61" s="120">
        <f t="shared" si="19"/>
        <v>3.9925885613967771</v>
      </c>
      <c r="E61" s="120">
        <f t="shared" si="19"/>
        <v>4.0527249458173449</v>
      </c>
      <c r="F61" s="120">
        <f t="shared" si="19"/>
        <v>3.0210981250959326</v>
      </c>
      <c r="G61" s="120">
        <f t="shared" si="19"/>
        <v>2.6917414038372987</v>
      </c>
      <c r="H61" s="120">
        <f t="shared" si="19"/>
        <v>2.4913882813123562</v>
      </c>
      <c r="I61" s="162">
        <f t="shared" si="19"/>
        <v>2.2910351587874134</v>
      </c>
      <c r="K61" s="103">
        <f t="shared" si="20"/>
        <v>1.2803866116653875E-4</v>
      </c>
      <c r="L61" s="29">
        <f t="shared" si="20"/>
        <v>1.5475149462778205E-4</v>
      </c>
      <c r="M61" s="29">
        <f t="shared" si="20"/>
        <v>1.5708236224098237E-4</v>
      </c>
      <c r="N61" s="29">
        <f t="shared" si="20"/>
        <v>1.1709682655410591E-4</v>
      </c>
      <c r="O61" s="29">
        <f t="shared" si="20"/>
        <v>1.0433106216423637E-4</v>
      </c>
      <c r="P61" s="29">
        <f t="shared" si="20"/>
        <v>9.6565437260168823E-5</v>
      </c>
      <c r="Q61" s="29">
        <f t="shared" si="20"/>
        <v>8.8799812356101293E-5</v>
      </c>
      <c r="R61" s="29"/>
      <c r="S61" s="29">
        <f t="shared" si="21"/>
        <v>2.5607732233307751E-5</v>
      </c>
      <c r="T61" s="29">
        <f t="shared" si="21"/>
        <v>3.0950298925556407E-5</v>
      </c>
      <c r="U61" s="29">
        <f t="shared" si="21"/>
        <v>3.1416472448196476E-5</v>
      </c>
      <c r="V61" s="29">
        <f t="shared" si="21"/>
        <v>2.3419365310821185E-5</v>
      </c>
      <c r="W61" s="29">
        <f t="shared" si="21"/>
        <v>2.0866212432847276E-5</v>
      </c>
      <c r="X61" s="29">
        <f t="shared" si="21"/>
        <v>1.931308745203377E-5</v>
      </c>
      <c r="Y61" s="29">
        <f t="shared" si="21"/>
        <v>1.775996247122026E-5</v>
      </c>
      <c r="Z61" s="27"/>
      <c r="AA61" s="29">
        <f t="shared" si="22"/>
        <v>3.3140246669735225</v>
      </c>
      <c r="AB61" s="29">
        <f t="shared" si="22"/>
        <v>4.0054329354508829</v>
      </c>
      <c r="AC61" s="29">
        <f t="shared" si="22"/>
        <v>4.0657627818833468</v>
      </c>
      <c r="AD61" s="29">
        <f t="shared" si="22"/>
        <v>3.0308171616999235</v>
      </c>
      <c r="AE61" s="29">
        <f t="shared" si="22"/>
        <v>2.7004008819969303</v>
      </c>
      <c r="AF61" s="29">
        <f t="shared" si="22"/>
        <v>2.4994032126049506</v>
      </c>
      <c r="AG61" s="34">
        <f t="shared" si="22"/>
        <v>2.29840554321297</v>
      </c>
    </row>
    <row r="62" spans="1:34" x14ac:dyDescent="0.25">
      <c r="A62" s="161"/>
      <c r="B62" s="11" t="s">
        <v>108</v>
      </c>
      <c r="C62" s="120">
        <f t="shared" ref="C62:I62" si="23">L22+L27+L30</f>
        <v>2.0532435916012486</v>
      </c>
      <c r="D62" s="120">
        <f t="shared" si="23"/>
        <v>2.183070020533397</v>
      </c>
      <c r="E62" s="120">
        <f t="shared" si="23"/>
        <v>1.777399082165497</v>
      </c>
      <c r="F62" s="120">
        <f t="shared" si="23"/>
        <v>1.7879531026750421</v>
      </c>
      <c r="G62" s="120">
        <f t="shared" si="23"/>
        <v>1.5126088868123864</v>
      </c>
      <c r="H62" s="120">
        <f t="shared" si="23"/>
        <v>1.5240111882964955</v>
      </c>
      <c r="I62" s="162">
        <f t="shared" si="23"/>
        <v>1.535413489780604</v>
      </c>
      <c r="K62" s="103">
        <f t="shared" si="20"/>
        <v>2.9434272567922873E-5</v>
      </c>
      <c r="L62" s="29">
        <f t="shared" si="20"/>
        <v>2.7301306748466256E-5</v>
      </c>
      <c r="M62" s="29">
        <f t="shared" si="20"/>
        <v>2.8721098159509202E-5</v>
      </c>
      <c r="N62" s="29">
        <f t="shared" si="20"/>
        <v>2.8971410166520598E-5</v>
      </c>
      <c r="O62" s="29">
        <f t="shared" si="20"/>
        <v>3.6874214723926376E-5</v>
      </c>
      <c r="P62" s="29">
        <f t="shared" si="20"/>
        <v>3.1415174408413672E-5</v>
      </c>
      <c r="Q62" s="29">
        <f t="shared" si="20"/>
        <v>2.5956134092900961E-5</v>
      </c>
      <c r="R62" s="29"/>
      <c r="S62" s="29">
        <f t="shared" si="21"/>
        <v>5.886854513584573E-6</v>
      </c>
      <c r="T62" s="29">
        <f t="shared" si="21"/>
        <v>5.4602613496932511E-6</v>
      </c>
      <c r="U62" s="29">
        <f t="shared" si="21"/>
        <v>5.7442196319018399E-6</v>
      </c>
      <c r="V62" s="29">
        <f t="shared" si="21"/>
        <v>5.7942820333041188E-6</v>
      </c>
      <c r="W62" s="29">
        <f t="shared" si="21"/>
        <v>7.3748429447852758E-6</v>
      </c>
      <c r="X62" s="29">
        <f t="shared" si="21"/>
        <v>6.2830348816827344E-6</v>
      </c>
      <c r="Y62" s="29">
        <f t="shared" si="21"/>
        <v>5.191226818580193E-6</v>
      </c>
      <c r="Z62" s="27"/>
      <c r="AA62" s="29">
        <f t="shared" si="22"/>
        <v>2.0556866362243862</v>
      </c>
      <c r="AB62" s="29">
        <f t="shared" si="22"/>
        <v>2.18533602899352</v>
      </c>
      <c r="AC62" s="29">
        <f t="shared" si="22"/>
        <v>1.7797829333127364</v>
      </c>
      <c r="AD62" s="29">
        <f t="shared" si="22"/>
        <v>1.7903577297188633</v>
      </c>
      <c r="AE62" s="29">
        <f t="shared" si="22"/>
        <v>1.5156694466344722</v>
      </c>
      <c r="AF62" s="29">
        <f t="shared" si="22"/>
        <v>1.526618647772394</v>
      </c>
      <c r="AG62" s="34">
        <f t="shared" si="22"/>
        <v>1.5375678489103148</v>
      </c>
    </row>
    <row r="63" spans="1:34" x14ac:dyDescent="0.25">
      <c r="A63" s="161"/>
      <c r="B63" s="11" t="s">
        <v>109</v>
      </c>
      <c r="C63" s="120">
        <f t="shared" ref="C63:I63" si="24">L23+L29</f>
        <v>2.5053733544896399</v>
      </c>
      <c r="D63" s="120">
        <f t="shared" si="24"/>
        <v>2.2976747425875512</v>
      </c>
      <c r="E63" s="120">
        <f t="shared" si="24"/>
        <v>2.658036981725421</v>
      </c>
      <c r="F63" s="120">
        <f t="shared" si="24"/>
        <v>1.8849749051739471</v>
      </c>
      <c r="G63" s="120">
        <f t="shared" si="24"/>
        <v>1.2059425671608495</v>
      </c>
      <c r="H63" s="120">
        <f t="shared" si="24"/>
        <v>1.0958794910236864</v>
      </c>
      <c r="I63" s="162">
        <f t="shared" si="24"/>
        <v>0.98581641488652383</v>
      </c>
      <c r="K63" s="103">
        <f t="shared" si="20"/>
        <v>5.1391866653875681E-5</v>
      </c>
      <c r="L63" s="29">
        <f t="shared" si="20"/>
        <v>4.838774194167308E-5</v>
      </c>
      <c r="M63" s="29">
        <f t="shared" si="20"/>
        <v>4.4517990598618576E-5</v>
      </c>
      <c r="N63" s="29">
        <f t="shared" si="20"/>
        <v>1.5424397544128933E-5</v>
      </c>
      <c r="O63" s="29">
        <f t="shared" si="20"/>
        <v>5.4364869531849593E-7</v>
      </c>
      <c r="P63" s="29">
        <f t="shared" si="20"/>
        <v>2.8364254604758251E-6</v>
      </c>
      <c r="Q63" s="29">
        <f t="shared" si="20"/>
        <v>5.1292022256331545E-6</v>
      </c>
      <c r="R63" s="29"/>
      <c r="S63" s="29">
        <f t="shared" si="21"/>
        <v>1.0278373330775137E-5</v>
      </c>
      <c r="T63" s="29">
        <f t="shared" si="21"/>
        <v>9.6775483883346143E-6</v>
      </c>
      <c r="U63" s="29">
        <f t="shared" si="21"/>
        <v>8.9035981197237162E-6</v>
      </c>
      <c r="V63" s="29">
        <f t="shared" si="21"/>
        <v>3.0848795088257865E-6</v>
      </c>
      <c r="W63" s="29">
        <f t="shared" si="21"/>
        <v>1.0872973906369917E-7</v>
      </c>
      <c r="X63" s="29">
        <f t="shared" si="21"/>
        <v>5.6728509209516498E-7</v>
      </c>
      <c r="Y63" s="29">
        <f t="shared" si="21"/>
        <v>1.0258404451266308E-6</v>
      </c>
      <c r="Z63" s="27"/>
      <c r="AA63" s="29">
        <f t="shared" si="22"/>
        <v>2.5096388794219116</v>
      </c>
      <c r="AB63" s="29">
        <f t="shared" si="22"/>
        <v>2.3016909251687099</v>
      </c>
      <c r="AC63" s="29">
        <f t="shared" si="22"/>
        <v>2.6617319749451065</v>
      </c>
      <c r="AD63" s="29">
        <f t="shared" si="22"/>
        <v>1.8862551301701098</v>
      </c>
      <c r="AE63" s="29">
        <f t="shared" si="22"/>
        <v>1.205987690002561</v>
      </c>
      <c r="AF63" s="29">
        <f t="shared" si="22"/>
        <v>1.096114914336906</v>
      </c>
      <c r="AG63" s="34">
        <f t="shared" si="22"/>
        <v>0.98624213867125143</v>
      </c>
    </row>
    <row r="64" spans="1:34" x14ac:dyDescent="0.25">
      <c r="A64" s="161"/>
      <c r="B64" s="11" t="s">
        <v>136</v>
      </c>
      <c r="C64" s="120">
        <f t="shared" ref="C64:I64" si="25">L24+L26</f>
        <v>27.30424824864</v>
      </c>
      <c r="D64" s="120">
        <f t="shared" si="25"/>
        <v>29.592307483199999</v>
      </c>
      <c r="E64" s="120">
        <f t="shared" si="25"/>
        <v>26.566812043199999</v>
      </c>
      <c r="F64" s="120">
        <f t="shared" si="25"/>
        <v>43.20979869888</v>
      </c>
      <c r="G64" s="120">
        <f t="shared" si="25"/>
        <v>48.025227381119997</v>
      </c>
      <c r="H64" s="120">
        <f t="shared" si="25"/>
        <v>40.477692166559997</v>
      </c>
      <c r="I64" s="162">
        <f t="shared" si="25"/>
        <v>32.930156951999997</v>
      </c>
      <c r="K64" s="103">
        <f t="shared" si="20"/>
        <v>2.479248E-6</v>
      </c>
      <c r="L64" s="29">
        <f t="shared" si="20"/>
        <v>1.0521263999999999E-5</v>
      </c>
      <c r="M64" s="29">
        <f t="shared" si="20"/>
        <v>2.8584479999999997E-6</v>
      </c>
      <c r="N64" s="29">
        <f t="shared" si="20"/>
        <v>1.4079456000000003E-5</v>
      </c>
      <c r="O64" s="29">
        <f t="shared" si="20"/>
        <v>2.9329727999999998E-5</v>
      </c>
      <c r="P64" s="29">
        <f t="shared" si="20"/>
        <v>1.9165464E-5</v>
      </c>
      <c r="Q64" s="29">
        <f t="shared" si="20"/>
        <v>9.0012000000000012E-6</v>
      </c>
      <c r="R64" s="29"/>
      <c r="S64" s="29">
        <f t="shared" si="21"/>
        <v>2.4792480000000001E-7</v>
      </c>
      <c r="T64" s="29">
        <f t="shared" si="21"/>
        <v>1.0521263999999997E-6</v>
      </c>
      <c r="U64" s="29">
        <f t="shared" si="21"/>
        <v>2.8584480000000002E-7</v>
      </c>
      <c r="V64" s="29">
        <f t="shared" si="21"/>
        <v>1.4079455999999999E-6</v>
      </c>
      <c r="W64" s="29">
        <f t="shared" si="21"/>
        <v>2.9329728000000001E-6</v>
      </c>
      <c r="X64" s="29">
        <f t="shared" si="21"/>
        <v>1.9165464000000004E-6</v>
      </c>
      <c r="Y64" s="29">
        <f t="shared" si="21"/>
        <v>9.0011999999999999E-7</v>
      </c>
      <c r="Z64" s="27"/>
      <c r="AA64" s="29">
        <f t="shared" si="22"/>
        <v>27.304377169536</v>
      </c>
      <c r="AB64" s="29">
        <f t="shared" si="22"/>
        <v>29.592854588927999</v>
      </c>
      <c r="AC64" s="29">
        <f t="shared" si="22"/>
        <v>26.566960682495999</v>
      </c>
      <c r="AD64" s="29">
        <f t="shared" si="22"/>
        <v>43.210530830591999</v>
      </c>
      <c r="AE64" s="29">
        <f t="shared" si="22"/>
        <v>48.026752526975997</v>
      </c>
      <c r="AF64" s="29">
        <f t="shared" si="22"/>
        <v>40.478688770687995</v>
      </c>
      <c r="AG64" s="34">
        <f t="shared" si="22"/>
        <v>32.9306250144</v>
      </c>
    </row>
    <row r="65" spans="1:33" x14ac:dyDescent="0.25">
      <c r="A65" s="161"/>
      <c r="B65" s="11" t="s">
        <v>110</v>
      </c>
      <c r="C65" s="120">
        <f t="shared" ref="C65:I65" si="26">L25</f>
        <v>23.991943387500005</v>
      </c>
      <c r="D65" s="120">
        <f t="shared" si="26"/>
        <v>26.8514333175</v>
      </c>
      <c r="E65" s="120">
        <f t="shared" si="26"/>
        <v>25.820782630499998</v>
      </c>
      <c r="F65" s="120">
        <f t="shared" si="26"/>
        <v>27.560134239</v>
      </c>
      <c r="G65" s="120">
        <f t="shared" si="26"/>
        <v>29.778810418500001</v>
      </c>
      <c r="H65" s="120">
        <f t="shared" si="26"/>
        <v>31.263070839000001</v>
      </c>
      <c r="I65" s="162">
        <f t="shared" si="26"/>
        <v>32.747331259499994</v>
      </c>
      <c r="K65" s="103">
        <f t="shared" si="20"/>
        <v>2.2601925E-4</v>
      </c>
      <c r="L65" s="29">
        <f t="shared" si="20"/>
        <v>2.5295744999999999E-4</v>
      </c>
      <c r="M65" s="29">
        <f t="shared" si="20"/>
        <v>2.4324806999999999E-4</v>
      </c>
      <c r="N65" s="29">
        <f t="shared" si="20"/>
        <v>2.5963385999999998E-4</v>
      </c>
      <c r="O65" s="29">
        <f t="shared" si="20"/>
        <v>2.8053519E-4</v>
      </c>
      <c r="P65" s="29">
        <f t="shared" si="20"/>
        <v>2.9451785999999998E-4</v>
      </c>
      <c r="Q65" s="29">
        <f t="shared" si="20"/>
        <v>3.0850052999999996E-4</v>
      </c>
      <c r="R65" s="29"/>
      <c r="S65" s="29">
        <f t="shared" si="21"/>
        <v>3.1642694999999991E-4</v>
      </c>
      <c r="T65" s="29">
        <f t="shared" si="21"/>
        <v>3.5414042999999993E-4</v>
      </c>
      <c r="U65" s="29">
        <f t="shared" si="21"/>
        <v>3.4054729799999997E-4</v>
      </c>
      <c r="V65" s="29">
        <f t="shared" si="21"/>
        <v>3.6348740400000002E-4</v>
      </c>
      <c r="W65" s="29">
        <f t="shared" si="21"/>
        <v>3.9274926600000004E-4</v>
      </c>
      <c r="X65" s="29">
        <f t="shared" si="21"/>
        <v>4.1232500399999994E-4</v>
      </c>
      <c r="Y65" s="29">
        <f t="shared" si="21"/>
        <v>4.3190074199999989E-4</v>
      </c>
      <c r="Z65" s="27"/>
      <c r="AA65" s="29">
        <f t="shared" si="22"/>
        <v>24.094782146250004</v>
      </c>
      <c r="AB65" s="29">
        <f t="shared" si="22"/>
        <v>26.966528957249999</v>
      </c>
      <c r="AC65" s="29">
        <f t="shared" si="22"/>
        <v>25.931460502349996</v>
      </c>
      <c r="AD65" s="29">
        <f t="shared" si="22"/>
        <v>27.6782676453</v>
      </c>
      <c r="AE65" s="29">
        <f t="shared" si="22"/>
        <v>29.906453929950001</v>
      </c>
      <c r="AF65" s="29">
        <f t="shared" si="22"/>
        <v>31.397076465300003</v>
      </c>
      <c r="AG65" s="34">
        <f t="shared" si="22"/>
        <v>32.887699000649995</v>
      </c>
    </row>
    <row r="66" spans="1:33" x14ac:dyDescent="0.25">
      <c r="A66" s="161"/>
      <c r="B66" s="11" t="s">
        <v>113</v>
      </c>
      <c r="C66" s="120">
        <f t="shared" ref="C66:I66" si="27">L28</f>
        <v>1.7710137372076542</v>
      </c>
      <c r="D66" s="120">
        <f t="shared" si="27"/>
        <v>1.8952218534727143</v>
      </c>
      <c r="E66" s="120">
        <f t="shared" si="27"/>
        <v>3.6913477445783127</v>
      </c>
      <c r="F66" s="120">
        <f t="shared" si="27"/>
        <v>2.7777243866789507</v>
      </c>
      <c r="G66" s="120">
        <f t="shared" si="27"/>
        <v>1.3808282687136779</v>
      </c>
      <c r="H66" s="120">
        <f t="shared" si="27"/>
        <v>2.0361561817345852</v>
      </c>
      <c r="I66" s="162">
        <f t="shared" si="27"/>
        <v>2.6914840947554923</v>
      </c>
      <c r="K66" s="103">
        <f t="shared" si="20"/>
        <v>4.8422749439999994E-4</v>
      </c>
      <c r="L66" s="29">
        <f t="shared" si="20"/>
        <v>5.1697084800000003E-4</v>
      </c>
      <c r="M66" s="29">
        <f t="shared" si="20"/>
        <v>4.7070326399999997E-4</v>
      </c>
      <c r="N66" s="29">
        <f t="shared" si="20"/>
        <v>7.5614868479999991E-4</v>
      </c>
      <c r="O66" s="29">
        <f t="shared" si="20"/>
        <v>8.2673493120000001E-4</v>
      </c>
      <c r="P66" s="29">
        <f t="shared" si="20"/>
        <v>7.0236202560000009E-4</v>
      </c>
      <c r="Q66" s="29">
        <f t="shared" si="20"/>
        <v>5.7798911999999995E-4</v>
      </c>
      <c r="R66" s="29"/>
      <c r="S66" s="29">
        <f t="shared" si="21"/>
        <v>4.8422749439999999E-5</v>
      </c>
      <c r="T66" s="29">
        <f t="shared" si="21"/>
        <v>5.1697084800000006E-5</v>
      </c>
      <c r="U66" s="29">
        <f t="shared" si="21"/>
        <v>4.70703264E-5</v>
      </c>
      <c r="V66" s="29">
        <f t="shared" si="21"/>
        <v>7.5614868479999991E-5</v>
      </c>
      <c r="W66" s="29">
        <f t="shared" si="21"/>
        <v>8.2673493119999992E-5</v>
      </c>
      <c r="X66" s="29">
        <f t="shared" si="21"/>
        <v>7.0236202560000006E-5</v>
      </c>
      <c r="Y66" s="29">
        <f t="shared" si="21"/>
        <v>5.7798912000000006E-5</v>
      </c>
      <c r="Z66" s="27"/>
      <c r="AA66" s="29">
        <f t="shared" si="22"/>
        <v>1.7961935669164542</v>
      </c>
      <c r="AB66" s="29">
        <f t="shared" si="22"/>
        <v>1.9221043375687143</v>
      </c>
      <c r="AC66" s="29">
        <f t="shared" si="22"/>
        <v>3.7158243143063125</v>
      </c>
      <c r="AD66" s="29">
        <f t="shared" si="22"/>
        <v>2.8170441182885511</v>
      </c>
      <c r="AE66" s="29">
        <f t="shared" si="22"/>
        <v>1.4238184851360778</v>
      </c>
      <c r="AF66" s="29">
        <f t="shared" si="22"/>
        <v>2.0726790070657852</v>
      </c>
      <c r="AG66" s="34">
        <f t="shared" si="22"/>
        <v>2.7215395289954922</v>
      </c>
    </row>
    <row r="67" spans="1:33" x14ac:dyDescent="0.25">
      <c r="A67" s="161"/>
      <c r="B67" s="11"/>
      <c r="C67" s="120"/>
      <c r="D67" s="120"/>
      <c r="E67" s="120"/>
      <c r="F67" s="120"/>
      <c r="G67" s="120"/>
      <c r="H67" s="120"/>
      <c r="I67" s="162"/>
      <c r="K67" s="103"/>
      <c r="L67" s="29"/>
      <c r="M67" s="29"/>
      <c r="N67" s="29"/>
      <c r="O67" s="29"/>
      <c r="P67" s="29"/>
      <c r="Q67" s="29"/>
      <c r="R67" s="29"/>
      <c r="S67" s="29"/>
      <c r="T67" s="29"/>
      <c r="U67" s="29"/>
      <c r="V67" s="29"/>
      <c r="W67" s="29"/>
      <c r="X67" s="29"/>
      <c r="Y67" s="29"/>
      <c r="Z67" s="27"/>
      <c r="AA67" s="29"/>
      <c r="AB67" s="29"/>
      <c r="AC67" s="29"/>
      <c r="AD67" s="29"/>
      <c r="AE67" s="29"/>
      <c r="AF67" s="29"/>
      <c r="AG67" s="34"/>
    </row>
    <row r="68" spans="1:33" x14ac:dyDescent="0.25">
      <c r="A68" s="207" t="s">
        <v>139</v>
      </c>
      <c r="B68" s="11" t="s">
        <v>140</v>
      </c>
      <c r="C68" s="120">
        <f t="shared" ref="C68:I70" si="28">L50</f>
        <v>62.724135129636252</v>
      </c>
      <c r="D68" s="120">
        <f t="shared" si="28"/>
        <v>59.346808279400413</v>
      </c>
      <c r="E68" s="120">
        <f t="shared" si="28"/>
        <v>81.319616182012808</v>
      </c>
      <c r="F68" s="120">
        <f t="shared" si="28"/>
        <v>86.188875019403625</v>
      </c>
      <c r="G68" s="120">
        <f t="shared" si="28"/>
        <v>106.95239897230066</v>
      </c>
      <c r="H68" s="120">
        <f t="shared" si="28"/>
        <v>114.03285774931523</v>
      </c>
      <c r="I68" s="162">
        <f t="shared" si="28"/>
        <v>121.1133165263298</v>
      </c>
      <c r="K68" s="103">
        <f t="shared" ref="K68:Q70" si="29">T50/21</f>
        <v>6.5467211282367447E-4</v>
      </c>
      <c r="L68" s="29">
        <f t="shared" si="29"/>
        <v>6.1942185867237668E-4</v>
      </c>
      <c r="M68" s="29">
        <f t="shared" si="29"/>
        <v>8.4875917108874651E-4</v>
      </c>
      <c r="N68" s="29">
        <f t="shared" si="29"/>
        <v>8.9958120258223169E-4</v>
      </c>
      <c r="O68" s="29">
        <f t="shared" si="29"/>
        <v>1.1162968267644363E-3</v>
      </c>
      <c r="P68" s="29">
        <f t="shared" si="29"/>
        <v>1.1901978681694524E-3</v>
      </c>
      <c r="Q68" s="29">
        <f t="shared" si="29"/>
        <v>1.2640989095744682E-3</v>
      </c>
      <c r="R68" s="29"/>
      <c r="S68" s="29">
        <f t="shared" ref="S68:Y70" si="30">AB50/310</f>
        <v>9.165409579531443E-4</v>
      </c>
      <c r="T68" s="29">
        <f t="shared" si="30"/>
        <v>8.6719060214132746E-4</v>
      </c>
      <c r="U68" s="29">
        <f t="shared" si="30"/>
        <v>1.1882628395242451E-3</v>
      </c>
      <c r="V68" s="29">
        <f t="shared" si="30"/>
        <v>1.2594136836151242E-3</v>
      </c>
      <c r="W68" s="29">
        <f t="shared" si="30"/>
        <v>1.5628155574702108E-3</v>
      </c>
      <c r="X68" s="29">
        <f t="shared" si="30"/>
        <v>1.6662770154372332E-3</v>
      </c>
      <c r="Y68" s="29">
        <f t="shared" si="30"/>
        <v>1.7697384734042551E-3</v>
      </c>
      <c r="Z68" s="27"/>
      <c r="AA68" s="29">
        <f t="shared" ref="AA68:AG70" si="31">C68+K68*21+S68*310</f>
        <v>63.022010940971029</v>
      </c>
      <c r="AB68" s="29">
        <f t="shared" si="31"/>
        <v>59.628645225096349</v>
      </c>
      <c r="AC68" s="29">
        <f t="shared" si="31"/>
        <v>81.705801604858195</v>
      </c>
      <c r="AD68" s="29">
        <f t="shared" si="31"/>
        <v>86.59818446657853</v>
      </c>
      <c r="AE68" s="29">
        <f t="shared" si="31"/>
        <v>107.46031402847846</v>
      </c>
      <c r="AF68" s="29">
        <f t="shared" si="31"/>
        <v>114.57439777933232</v>
      </c>
      <c r="AG68" s="34">
        <f t="shared" si="31"/>
        <v>121.68848153018618</v>
      </c>
    </row>
    <row r="69" spans="1:33" x14ac:dyDescent="0.25">
      <c r="A69" s="161"/>
      <c r="B69" s="11" t="s">
        <v>51</v>
      </c>
      <c r="C69" s="120">
        <f t="shared" si="28"/>
        <v>10.43316046538378</v>
      </c>
      <c r="D69" s="120">
        <f t="shared" si="28"/>
        <v>11.231321517381938</v>
      </c>
      <c r="E69" s="120">
        <f t="shared" si="28"/>
        <v>10.545369504380453</v>
      </c>
      <c r="F69" s="120">
        <f t="shared" si="28"/>
        <v>8.5947647224483248</v>
      </c>
      <c r="G69" s="120">
        <f t="shared" si="28"/>
        <v>8.1097702286715894</v>
      </c>
      <c r="H69" s="120">
        <f t="shared" si="28"/>
        <v>8.3459918022379966</v>
      </c>
      <c r="I69" s="162">
        <f t="shared" si="28"/>
        <v>8.5822133758044021</v>
      </c>
      <c r="K69" s="103">
        <f t="shared" si="29"/>
        <v>4.2239516054185357E-4</v>
      </c>
      <c r="L69" s="29">
        <f t="shared" si="29"/>
        <v>4.5470937317335775E-4</v>
      </c>
      <c r="M69" s="29">
        <f t="shared" si="29"/>
        <v>4.2693803661459327E-4</v>
      </c>
      <c r="N69" s="29">
        <f t="shared" si="29"/>
        <v>3.4796618309507389E-4</v>
      </c>
      <c r="O69" s="29">
        <f t="shared" si="29"/>
        <v>3.2833077848872839E-4</v>
      </c>
      <c r="P69" s="29">
        <f t="shared" si="29"/>
        <v>3.3789440494890675E-4</v>
      </c>
      <c r="Q69" s="29">
        <f t="shared" si="29"/>
        <v>3.4745803140908516E-4</v>
      </c>
      <c r="R69" s="29"/>
      <c r="S69" s="29">
        <f t="shared" si="30"/>
        <v>8.4479032108370693E-5</v>
      </c>
      <c r="T69" s="29">
        <f t="shared" si="30"/>
        <v>9.0941874634671555E-5</v>
      </c>
      <c r="U69" s="29">
        <f t="shared" si="30"/>
        <v>8.5387607322918654E-5</v>
      </c>
      <c r="V69" s="29">
        <f t="shared" si="30"/>
        <v>6.9593236619014783E-5</v>
      </c>
      <c r="W69" s="29">
        <f t="shared" si="30"/>
        <v>6.5666155697745676E-5</v>
      </c>
      <c r="X69" s="29">
        <f t="shared" si="30"/>
        <v>6.7578880989781339E-5</v>
      </c>
      <c r="Y69" s="29">
        <f t="shared" si="30"/>
        <v>6.9491606281817017E-5</v>
      </c>
      <c r="Z69" s="27"/>
      <c r="AA69" s="29">
        <f t="shared" si="31"/>
        <v>10.468219263708754</v>
      </c>
      <c r="AB69" s="29">
        <f t="shared" si="31"/>
        <v>11.269062395355327</v>
      </c>
      <c r="AC69" s="29">
        <f t="shared" si="31"/>
        <v>10.580805361419463</v>
      </c>
      <c r="AD69" s="29">
        <f t="shared" si="31"/>
        <v>8.6236459156452163</v>
      </c>
      <c r="AE69" s="29">
        <f t="shared" si="31"/>
        <v>8.1370216832861537</v>
      </c>
      <c r="AF69" s="29">
        <f t="shared" si="31"/>
        <v>8.3740370378487547</v>
      </c>
      <c r="AG69" s="34">
        <f t="shared" si="31"/>
        <v>8.6110523924113576</v>
      </c>
    </row>
    <row r="70" spans="1:33" x14ac:dyDescent="0.25">
      <c r="A70" s="161"/>
      <c r="B70" s="11" t="s">
        <v>63</v>
      </c>
      <c r="C70" s="120">
        <f t="shared" si="28"/>
        <v>8.8350799354520557</v>
      </c>
      <c r="D70" s="120">
        <f t="shared" si="28"/>
        <v>14.783140994713897</v>
      </c>
      <c r="E70" s="120">
        <f t="shared" si="28"/>
        <v>8.7961485995121951</v>
      </c>
      <c r="F70" s="120">
        <f t="shared" si="28"/>
        <v>10.464378412949999</v>
      </c>
      <c r="G70" s="120">
        <f t="shared" si="28"/>
        <v>8.1421673628358224</v>
      </c>
      <c r="H70" s="120">
        <f t="shared" si="28"/>
        <v>9.4816575819584497</v>
      </c>
      <c r="I70" s="162">
        <f t="shared" si="28"/>
        <v>10.821147801081082</v>
      </c>
      <c r="K70" s="103">
        <f t="shared" si="29"/>
        <v>1.5748805589041096E-4</v>
      </c>
      <c r="L70" s="29">
        <f t="shared" si="29"/>
        <v>2.6351409972752042E-4</v>
      </c>
      <c r="M70" s="29">
        <f t="shared" si="29"/>
        <v>1.5679409268292682E-4</v>
      </c>
      <c r="N70" s="29">
        <f t="shared" si="29"/>
        <v>1.8653080950000001E-4</v>
      </c>
      <c r="O70" s="29">
        <f t="shared" si="29"/>
        <v>1.4513667313432836E-4</v>
      </c>
      <c r="P70" s="29">
        <f t="shared" si="29"/>
        <v>1.6901350413473174E-4</v>
      </c>
      <c r="Q70" s="29">
        <f t="shared" si="29"/>
        <v>1.9289033513513512E-4</v>
      </c>
      <c r="R70" s="29"/>
      <c r="S70" s="29">
        <f t="shared" si="30"/>
        <v>1.5748805589041099E-5</v>
      </c>
      <c r="T70" s="29">
        <f t="shared" si="30"/>
        <v>2.6351409972752045E-5</v>
      </c>
      <c r="U70" s="29">
        <f t="shared" si="30"/>
        <v>1.5679409268292684E-5</v>
      </c>
      <c r="V70" s="29">
        <f t="shared" si="30"/>
        <v>1.8653080949999998E-5</v>
      </c>
      <c r="W70" s="29">
        <f t="shared" si="30"/>
        <v>1.4513667313432839E-5</v>
      </c>
      <c r="X70" s="29">
        <f t="shared" si="30"/>
        <v>1.6901350413473174E-5</v>
      </c>
      <c r="Y70" s="29">
        <f t="shared" si="30"/>
        <v>1.9289033513513516E-5</v>
      </c>
      <c r="Z70" s="27"/>
      <c r="AA70" s="29">
        <f t="shared" si="31"/>
        <v>8.8432693143583574</v>
      </c>
      <c r="AB70" s="29">
        <f t="shared" si="31"/>
        <v>14.796843727899727</v>
      </c>
      <c r="AC70" s="29">
        <f t="shared" si="31"/>
        <v>8.804301892331706</v>
      </c>
      <c r="AD70" s="29">
        <f t="shared" si="31"/>
        <v>10.474078015044</v>
      </c>
      <c r="AE70" s="29">
        <f t="shared" si="31"/>
        <v>8.1497144698388091</v>
      </c>
      <c r="AF70" s="29">
        <f t="shared" si="31"/>
        <v>9.4904462841734567</v>
      </c>
      <c r="AG70" s="34">
        <f t="shared" si="31"/>
        <v>10.83117809850811</v>
      </c>
    </row>
    <row r="71" spans="1:33" x14ac:dyDescent="0.25">
      <c r="A71" s="161"/>
      <c r="B71" s="11"/>
      <c r="C71" s="120"/>
      <c r="D71" s="120"/>
      <c r="E71" s="120"/>
      <c r="F71" s="120"/>
      <c r="G71" s="120"/>
      <c r="H71" s="120"/>
      <c r="I71" s="162"/>
      <c r="K71" s="103"/>
      <c r="L71" s="29"/>
      <c r="M71" s="29"/>
      <c r="N71" s="29"/>
      <c r="O71" s="29"/>
      <c r="P71" s="29"/>
      <c r="Q71" s="29"/>
      <c r="R71" s="29"/>
      <c r="S71" s="29"/>
      <c r="T71" s="29"/>
      <c r="U71" s="29"/>
      <c r="V71" s="29"/>
      <c r="W71" s="29"/>
      <c r="X71" s="29"/>
      <c r="Y71" s="29"/>
      <c r="Z71" s="27"/>
      <c r="AA71" s="29"/>
      <c r="AB71" s="29"/>
      <c r="AC71" s="29"/>
      <c r="AD71" s="29"/>
      <c r="AE71" s="29"/>
      <c r="AF71" s="29"/>
      <c r="AG71" s="34"/>
    </row>
    <row r="72" spans="1:33" x14ac:dyDescent="0.25">
      <c r="A72" s="207" t="s">
        <v>54</v>
      </c>
      <c r="B72" s="11" t="s">
        <v>106</v>
      </c>
      <c r="C72" s="120">
        <f>C60+C68</f>
        <v>637.34789353833628</v>
      </c>
      <c r="D72" s="120">
        <f t="shared" ref="D72:AA72" si="32">D60+D68</f>
        <v>674.67752618130032</v>
      </c>
      <c r="E72" s="120">
        <f t="shared" si="32"/>
        <v>741.62283525751286</v>
      </c>
      <c r="F72" s="120">
        <f t="shared" si="32"/>
        <v>767.47750594230365</v>
      </c>
      <c r="G72" s="120">
        <f t="shared" si="32"/>
        <v>822.71142139360063</v>
      </c>
      <c r="H72" s="120">
        <f t="shared" si="32"/>
        <v>899.38904502211517</v>
      </c>
      <c r="I72" s="162">
        <f t="shared" si="32"/>
        <v>976.06666865062971</v>
      </c>
      <c r="J72" s="3"/>
      <c r="K72" s="103">
        <f t="shared" ref="K72" si="33">K60+K68</f>
        <v>6.6522063828236746E-3</v>
      </c>
      <c r="L72" s="29">
        <f t="shared" si="32"/>
        <v>7.0418278486723768E-3</v>
      </c>
      <c r="M72" s="29">
        <f t="shared" si="32"/>
        <v>7.7405577210887463E-3</v>
      </c>
      <c r="N72" s="29">
        <f t="shared" si="32"/>
        <v>8.0104112925822313E-3</v>
      </c>
      <c r="O72" s="29">
        <f t="shared" si="32"/>
        <v>8.5869055567644355E-3</v>
      </c>
      <c r="P72" s="29">
        <f t="shared" si="32"/>
        <v>9.3872147481694514E-3</v>
      </c>
      <c r="Q72" s="29">
        <f t="shared" si="32"/>
        <v>1.0187523939574467E-2</v>
      </c>
      <c r="R72" s="29"/>
      <c r="S72" s="29">
        <f t="shared" si="32"/>
        <v>9.313088935953142E-3</v>
      </c>
      <c r="T72" s="29">
        <f t="shared" si="32"/>
        <v>9.8585589881413256E-3</v>
      </c>
      <c r="U72" s="29">
        <f t="shared" si="32"/>
        <v>1.0836780809524243E-2</v>
      </c>
      <c r="V72" s="29">
        <f t="shared" si="32"/>
        <v>1.1214575809615121E-2</v>
      </c>
      <c r="W72" s="29">
        <f t="shared" si="32"/>
        <v>1.202166777947021E-2</v>
      </c>
      <c r="X72" s="29">
        <f t="shared" si="32"/>
        <v>1.3142100647437233E-2</v>
      </c>
      <c r="Y72" s="29">
        <f t="shared" si="32"/>
        <v>1.4262533515404251E-2</v>
      </c>
      <c r="Z72" s="81"/>
      <c r="AA72" s="29">
        <f t="shared" si="32"/>
        <v>640.37464744252111</v>
      </c>
      <c r="AB72" s="29">
        <f t="shared" ref="AB72:AG72" si="34">AB60+AB68</f>
        <v>677.88155785244624</v>
      </c>
      <c r="AC72" s="29">
        <f t="shared" si="34"/>
        <v>745.14478902060807</v>
      </c>
      <c r="AD72" s="29">
        <f t="shared" si="34"/>
        <v>771.12224308042858</v>
      </c>
      <c r="AE72" s="29">
        <f t="shared" si="34"/>
        <v>826.61846342192848</v>
      </c>
      <c r="AF72" s="29">
        <f t="shared" si="34"/>
        <v>903.66022773253235</v>
      </c>
      <c r="AG72" s="34">
        <f t="shared" si="34"/>
        <v>980.7019920431361</v>
      </c>
    </row>
    <row r="73" spans="1:33" x14ac:dyDescent="0.25">
      <c r="A73" s="161"/>
      <c r="B73" s="11" t="s">
        <v>107</v>
      </c>
      <c r="C73" s="120">
        <f>C61</f>
        <v>3.3033974580966996</v>
      </c>
      <c r="D73" s="120">
        <f t="shared" ref="D73:AA73" si="35">D61</f>
        <v>3.9925885613967771</v>
      </c>
      <c r="E73" s="120">
        <f t="shared" si="35"/>
        <v>4.0527249458173449</v>
      </c>
      <c r="F73" s="120">
        <f t="shared" si="35"/>
        <v>3.0210981250959326</v>
      </c>
      <c r="G73" s="120">
        <f t="shared" si="35"/>
        <v>2.6917414038372987</v>
      </c>
      <c r="H73" s="120">
        <f t="shared" si="35"/>
        <v>2.4913882813123562</v>
      </c>
      <c r="I73" s="162">
        <f t="shared" si="35"/>
        <v>2.2910351587874134</v>
      </c>
      <c r="J73" s="3"/>
      <c r="K73" s="103">
        <f t="shared" ref="K73" si="36">K61</f>
        <v>1.2803866116653875E-4</v>
      </c>
      <c r="L73" s="29">
        <f t="shared" si="35"/>
        <v>1.5475149462778205E-4</v>
      </c>
      <c r="M73" s="29">
        <f t="shared" si="35"/>
        <v>1.5708236224098237E-4</v>
      </c>
      <c r="N73" s="29">
        <f t="shared" si="35"/>
        <v>1.1709682655410591E-4</v>
      </c>
      <c r="O73" s="29">
        <f t="shared" si="35"/>
        <v>1.0433106216423637E-4</v>
      </c>
      <c r="P73" s="29">
        <f t="shared" si="35"/>
        <v>9.6565437260168823E-5</v>
      </c>
      <c r="Q73" s="29">
        <f t="shared" si="35"/>
        <v>8.8799812356101293E-5</v>
      </c>
      <c r="R73" s="29"/>
      <c r="S73" s="29">
        <f t="shared" si="35"/>
        <v>2.5607732233307751E-5</v>
      </c>
      <c r="T73" s="29">
        <f t="shared" si="35"/>
        <v>3.0950298925556407E-5</v>
      </c>
      <c r="U73" s="29">
        <f t="shared" si="35"/>
        <v>3.1416472448196476E-5</v>
      </c>
      <c r="V73" s="29">
        <f t="shared" si="35"/>
        <v>2.3419365310821185E-5</v>
      </c>
      <c r="W73" s="29">
        <f t="shared" si="35"/>
        <v>2.0866212432847276E-5</v>
      </c>
      <c r="X73" s="29">
        <f t="shared" si="35"/>
        <v>1.931308745203377E-5</v>
      </c>
      <c r="Y73" s="29">
        <f t="shared" si="35"/>
        <v>1.775996247122026E-5</v>
      </c>
      <c r="Z73" s="81"/>
      <c r="AA73" s="29">
        <f t="shared" si="35"/>
        <v>3.3140246669735225</v>
      </c>
      <c r="AB73" s="29">
        <f t="shared" ref="AB73:AG73" si="37">AB61</f>
        <v>4.0054329354508829</v>
      </c>
      <c r="AC73" s="29">
        <f t="shared" si="37"/>
        <v>4.0657627818833468</v>
      </c>
      <c r="AD73" s="29">
        <f t="shared" si="37"/>
        <v>3.0308171616999235</v>
      </c>
      <c r="AE73" s="29">
        <f t="shared" si="37"/>
        <v>2.7004008819969303</v>
      </c>
      <c r="AF73" s="29">
        <f t="shared" si="37"/>
        <v>2.4994032126049506</v>
      </c>
      <c r="AG73" s="34">
        <f t="shared" si="37"/>
        <v>2.29840554321297</v>
      </c>
    </row>
    <row r="74" spans="1:33" x14ac:dyDescent="0.25">
      <c r="A74" s="161"/>
      <c r="B74" s="11" t="s">
        <v>108</v>
      </c>
      <c r="C74" s="120">
        <f>C62+C69</f>
        <v>12.486404056985029</v>
      </c>
      <c r="D74" s="120">
        <f t="shared" ref="D74:AA74" si="38">D62+D69</f>
        <v>13.414391537915336</v>
      </c>
      <c r="E74" s="120">
        <f t="shared" si="38"/>
        <v>12.32276858654595</v>
      </c>
      <c r="F74" s="120">
        <f t="shared" si="38"/>
        <v>10.382717825123366</v>
      </c>
      <c r="G74" s="120">
        <f t="shared" si="38"/>
        <v>9.6223791154839766</v>
      </c>
      <c r="H74" s="120">
        <f t="shared" si="38"/>
        <v>9.8700029905344913</v>
      </c>
      <c r="I74" s="162">
        <f t="shared" si="38"/>
        <v>10.117626865585006</v>
      </c>
      <c r="J74" s="19"/>
      <c r="K74" s="103">
        <f t="shared" ref="K74" si="39">K62+K69</f>
        <v>4.5182943310977645E-4</v>
      </c>
      <c r="L74" s="29">
        <f t="shared" si="38"/>
        <v>4.8201067992182398E-4</v>
      </c>
      <c r="M74" s="29">
        <f t="shared" si="38"/>
        <v>4.5565913477410249E-4</v>
      </c>
      <c r="N74" s="29">
        <f t="shared" si="38"/>
        <v>3.7693759326159451E-4</v>
      </c>
      <c r="O74" s="29">
        <f t="shared" si="38"/>
        <v>3.6520499321265475E-4</v>
      </c>
      <c r="P74" s="29">
        <f t="shared" si="38"/>
        <v>3.6930957935732043E-4</v>
      </c>
      <c r="Q74" s="29">
        <f t="shared" si="38"/>
        <v>3.7341416550198611E-4</v>
      </c>
      <c r="R74" s="29"/>
      <c r="S74" s="29">
        <f t="shared" si="38"/>
        <v>9.0365886621955263E-5</v>
      </c>
      <c r="T74" s="29">
        <f t="shared" si="38"/>
        <v>9.6402135984364803E-5</v>
      </c>
      <c r="U74" s="29">
        <f t="shared" si="38"/>
        <v>9.113182695482049E-5</v>
      </c>
      <c r="V74" s="29">
        <f t="shared" si="38"/>
        <v>7.5387518652318903E-5</v>
      </c>
      <c r="W74" s="29">
        <f t="shared" si="38"/>
        <v>7.3040998642530952E-5</v>
      </c>
      <c r="X74" s="29">
        <f t="shared" si="38"/>
        <v>7.3861915871464081E-5</v>
      </c>
      <c r="Y74" s="29">
        <f t="shared" si="38"/>
        <v>7.4682833100397209E-5</v>
      </c>
      <c r="Z74" s="29"/>
      <c r="AA74" s="29">
        <f t="shared" si="38"/>
        <v>12.523905899933141</v>
      </c>
      <c r="AB74" s="29">
        <f t="shared" ref="AB74:AG74" si="40">AB62+AB69</f>
        <v>13.454398424348847</v>
      </c>
      <c r="AC74" s="29">
        <f t="shared" si="40"/>
        <v>12.360588294732199</v>
      </c>
      <c r="AD74" s="29">
        <f t="shared" si="40"/>
        <v>10.41400364536408</v>
      </c>
      <c r="AE74" s="29">
        <f t="shared" si="40"/>
        <v>9.6526911299206262</v>
      </c>
      <c r="AF74" s="29">
        <f t="shared" si="40"/>
        <v>9.9006556856211496</v>
      </c>
      <c r="AG74" s="34">
        <f t="shared" si="40"/>
        <v>10.148620241321673</v>
      </c>
    </row>
    <row r="75" spans="1:33" x14ac:dyDescent="0.25">
      <c r="A75" s="161"/>
      <c r="B75" s="11" t="s">
        <v>109</v>
      </c>
      <c r="C75" s="120">
        <f>C63</f>
        <v>2.5053733544896399</v>
      </c>
      <c r="D75" s="120">
        <f t="shared" ref="D75:AA75" si="41">D63</f>
        <v>2.2976747425875512</v>
      </c>
      <c r="E75" s="120">
        <f t="shared" si="41"/>
        <v>2.658036981725421</v>
      </c>
      <c r="F75" s="120">
        <f t="shared" si="41"/>
        <v>1.8849749051739471</v>
      </c>
      <c r="G75" s="120">
        <f t="shared" si="41"/>
        <v>1.2059425671608495</v>
      </c>
      <c r="H75" s="120">
        <f t="shared" si="41"/>
        <v>1.0958794910236864</v>
      </c>
      <c r="I75" s="162">
        <f t="shared" si="41"/>
        <v>0.98581641488652383</v>
      </c>
      <c r="J75" s="19"/>
      <c r="K75" s="103">
        <f t="shared" ref="K75" si="42">K63</f>
        <v>5.1391866653875681E-5</v>
      </c>
      <c r="L75" s="29">
        <f t="shared" si="41"/>
        <v>4.838774194167308E-5</v>
      </c>
      <c r="M75" s="29">
        <f t="shared" si="41"/>
        <v>4.4517990598618576E-5</v>
      </c>
      <c r="N75" s="29">
        <f t="shared" si="41"/>
        <v>1.5424397544128933E-5</v>
      </c>
      <c r="O75" s="29">
        <f t="shared" si="41"/>
        <v>5.4364869531849593E-7</v>
      </c>
      <c r="P75" s="29">
        <f t="shared" si="41"/>
        <v>2.8364254604758251E-6</v>
      </c>
      <c r="Q75" s="29">
        <f t="shared" si="41"/>
        <v>5.1292022256331545E-6</v>
      </c>
      <c r="R75" s="29"/>
      <c r="S75" s="29">
        <f t="shared" si="41"/>
        <v>1.0278373330775137E-5</v>
      </c>
      <c r="T75" s="29">
        <f t="shared" si="41"/>
        <v>9.6775483883346143E-6</v>
      </c>
      <c r="U75" s="29">
        <f t="shared" si="41"/>
        <v>8.9035981197237162E-6</v>
      </c>
      <c r="V75" s="29">
        <f t="shared" si="41"/>
        <v>3.0848795088257865E-6</v>
      </c>
      <c r="W75" s="29">
        <f t="shared" si="41"/>
        <v>1.0872973906369917E-7</v>
      </c>
      <c r="X75" s="29">
        <f t="shared" si="41"/>
        <v>5.6728509209516498E-7</v>
      </c>
      <c r="Y75" s="29">
        <f t="shared" si="41"/>
        <v>1.0258404451266308E-6</v>
      </c>
      <c r="Z75" s="29"/>
      <c r="AA75" s="29">
        <f t="shared" si="41"/>
        <v>2.5096388794219116</v>
      </c>
      <c r="AB75" s="29">
        <f t="shared" ref="AB75:AG75" si="43">AB63</f>
        <v>2.3016909251687099</v>
      </c>
      <c r="AC75" s="29">
        <f t="shared" si="43"/>
        <v>2.6617319749451065</v>
      </c>
      <c r="AD75" s="29">
        <f t="shared" si="43"/>
        <v>1.8862551301701098</v>
      </c>
      <c r="AE75" s="29">
        <f t="shared" si="43"/>
        <v>1.205987690002561</v>
      </c>
      <c r="AF75" s="29">
        <f t="shared" si="43"/>
        <v>1.096114914336906</v>
      </c>
      <c r="AG75" s="34">
        <f t="shared" si="43"/>
        <v>0.98624213867125143</v>
      </c>
    </row>
    <row r="76" spans="1:33" x14ac:dyDescent="0.25">
      <c r="A76" s="161"/>
      <c r="B76" s="11" t="s">
        <v>136</v>
      </c>
      <c r="C76" s="120">
        <f>C64+C70</f>
        <v>36.139328184092058</v>
      </c>
      <c r="D76" s="120">
        <f t="shared" ref="D76:AA76" si="44">D64+D70</f>
        <v>44.375448477913892</v>
      </c>
      <c r="E76" s="120">
        <f t="shared" si="44"/>
        <v>35.362960642712196</v>
      </c>
      <c r="F76" s="120">
        <f t="shared" si="44"/>
        <v>53.674177111829998</v>
      </c>
      <c r="G76" s="120">
        <f t="shared" si="44"/>
        <v>56.167394743955818</v>
      </c>
      <c r="H76" s="120">
        <f t="shared" si="44"/>
        <v>49.959349748518449</v>
      </c>
      <c r="I76" s="162">
        <f t="shared" si="44"/>
        <v>43.751304753081079</v>
      </c>
      <c r="J76" s="20"/>
      <c r="K76" s="103">
        <f t="shared" ref="K76" si="45">K64+K70</f>
        <v>1.5996730389041097E-4</v>
      </c>
      <c r="L76" s="29">
        <f t="shared" si="44"/>
        <v>2.7403536372752043E-4</v>
      </c>
      <c r="M76" s="29">
        <f t="shared" si="44"/>
        <v>1.5965254068292683E-4</v>
      </c>
      <c r="N76" s="29">
        <f t="shared" si="44"/>
        <v>2.0061026550000002E-4</v>
      </c>
      <c r="O76" s="29">
        <f t="shared" si="44"/>
        <v>1.7446640113432836E-4</v>
      </c>
      <c r="P76" s="29">
        <f t="shared" si="44"/>
        <v>1.8817896813473172E-4</v>
      </c>
      <c r="Q76" s="29">
        <f t="shared" si="44"/>
        <v>2.0189153513513512E-4</v>
      </c>
      <c r="R76" s="29"/>
      <c r="S76" s="29">
        <f t="shared" si="44"/>
        <v>1.5996730389041099E-5</v>
      </c>
      <c r="T76" s="29">
        <f t="shared" si="44"/>
        <v>2.7403536372752045E-5</v>
      </c>
      <c r="U76" s="29">
        <f t="shared" si="44"/>
        <v>1.5965254068292684E-5</v>
      </c>
      <c r="V76" s="29">
        <f t="shared" si="44"/>
        <v>2.0061026549999998E-5</v>
      </c>
      <c r="W76" s="29">
        <f t="shared" si="44"/>
        <v>1.7446640113432839E-5</v>
      </c>
      <c r="X76" s="29">
        <f t="shared" si="44"/>
        <v>1.8817896813473174E-5</v>
      </c>
      <c r="Y76" s="29">
        <f t="shared" si="44"/>
        <v>2.0189153513513515E-5</v>
      </c>
      <c r="Z76" s="107"/>
      <c r="AA76" s="29">
        <f t="shared" si="44"/>
        <v>36.147646483894356</v>
      </c>
      <c r="AB76" s="29">
        <f t="shared" ref="AB76:AG76" si="46">AB64+AB70</f>
        <v>44.389698316827726</v>
      </c>
      <c r="AC76" s="29">
        <f t="shared" si="46"/>
        <v>35.371262574827703</v>
      </c>
      <c r="AD76" s="29">
        <f t="shared" si="46"/>
        <v>53.684608845635999</v>
      </c>
      <c r="AE76" s="29">
        <f t="shared" si="46"/>
        <v>56.17646699681481</v>
      </c>
      <c r="AF76" s="29">
        <f t="shared" si="46"/>
        <v>49.969135054861454</v>
      </c>
      <c r="AG76" s="34">
        <f t="shared" si="46"/>
        <v>43.761803112908112</v>
      </c>
    </row>
    <row r="77" spans="1:33" x14ac:dyDescent="0.25">
      <c r="A77" s="161"/>
      <c r="B77" s="11" t="s">
        <v>110</v>
      </c>
      <c r="C77" s="120">
        <f>C65</f>
        <v>23.991943387500005</v>
      </c>
      <c r="D77" s="120">
        <f t="shared" ref="D77:AA77" si="47">D65</f>
        <v>26.8514333175</v>
      </c>
      <c r="E77" s="120">
        <f t="shared" si="47"/>
        <v>25.820782630499998</v>
      </c>
      <c r="F77" s="120">
        <f t="shared" si="47"/>
        <v>27.560134239</v>
      </c>
      <c r="G77" s="120">
        <f t="shared" si="47"/>
        <v>29.778810418500001</v>
      </c>
      <c r="H77" s="120">
        <f t="shared" si="47"/>
        <v>31.263070839000001</v>
      </c>
      <c r="I77" s="162">
        <f t="shared" si="47"/>
        <v>32.747331259499994</v>
      </c>
      <c r="J77" s="3"/>
      <c r="K77" s="103">
        <f t="shared" ref="K77" si="48">K65</f>
        <v>2.2601925E-4</v>
      </c>
      <c r="L77" s="29">
        <f t="shared" si="47"/>
        <v>2.5295744999999999E-4</v>
      </c>
      <c r="M77" s="29">
        <f t="shared" si="47"/>
        <v>2.4324806999999999E-4</v>
      </c>
      <c r="N77" s="29">
        <f t="shared" si="47"/>
        <v>2.5963385999999998E-4</v>
      </c>
      <c r="O77" s="29">
        <f t="shared" si="47"/>
        <v>2.8053519E-4</v>
      </c>
      <c r="P77" s="29">
        <f t="shared" si="47"/>
        <v>2.9451785999999998E-4</v>
      </c>
      <c r="Q77" s="29">
        <f t="shared" si="47"/>
        <v>3.0850052999999996E-4</v>
      </c>
      <c r="R77" s="29"/>
      <c r="S77" s="29">
        <f t="shared" si="47"/>
        <v>3.1642694999999991E-4</v>
      </c>
      <c r="T77" s="29">
        <f t="shared" si="47"/>
        <v>3.5414042999999993E-4</v>
      </c>
      <c r="U77" s="29">
        <f t="shared" si="47"/>
        <v>3.4054729799999997E-4</v>
      </c>
      <c r="V77" s="29">
        <f t="shared" si="47"/>
        <v>3.6348740400000002E-4</v>
      </c>
      <c r="W77" s="29">
        <f t="shared" si="47"/>
        <v>3.9274926600000004E-4</v>
      </c>
      <c r="X77" s="29">
        <f t="shared" si="47"/>
        <v>4.1232500399999994E-4</v>
      </c>
      <c r="Y77" s="29">
        <f t="shared" si="47"/>
        <v>4.3190074199999989E-4</v>
      </c>
      <c r="Z77" s="81"/>
      <c r="AA77" s="29">
        <f t="shared" si="47"/>
        <v>24.094782146250004</v>
      </c>
      <c r="AB77" s="29">
        <f t="shared" ref="AB77:AG77" si="49">AB65</f>
        <v>26.966528957249999</v>
      </c>
      <c r="AC77" s="29">
        <f t="shared" si="49"/>
        <v>25.931460502349996</v>
      </c>
      <c r="AD77" s="29">
        <f t="shared" si="49"/>
        <v>27.6782676453</v>
      </c>
      <c r="AE77" s="29">
        <f t="shared" si="49"/>
        <v>29.906453929950001</v>
      </c>
      <c r="AF77" s="29">
        <f t="shared" si="49"/>
        <v>31.397076465300003</v>
      </c>
      <c r="AG77" s="34">
        <f t="shared" si="49"/>
        <v>32.887699000649995</v>
      </c>
    </row>
    <row r="78" spans="1:33" ht="16.5" thickBot="1" x14ac:dyDescent="0.3">
      <c r="A78" s="163"/>
      <c r="B78" s="164" t="s">
        <v>113</v>
      </c>
      <c r="C78" s="165">
        <f>C66</f>
        <v>1.7710137372076542</v>
      </c>
      <c r="D78" s="165">
        <f t="shared" ref="D78:AA78" si="50">D66</f>
        <v>1.8952218534727143</v>
      </c>
      <c r="E78" s="165">
        <f t="shared" si="50"/>
        <v>3.6913477445783127</v>
      </c>
      <c r="F78" s="165">
        <f t="shared" si="50"/>
        <v>2.7777243866789507</v>
      </c>
      <c r="G78" s="165">
        <f t="shared" si="50"/>
        <v>1.3808282687136779</v>
      </c>
      <c r="H78" s="165">
        <f t="shared" si="50"/>
        <v>2.0361561817345852</v>
      </c>
      <c r="I78" s="166">
        <f t="shared" si="50"/>
        <v>2.6914840947554923</v>
      </c>
      <c r="J78" s="19"/>
      <c r="K78" s="104">
        <f t="shared" ref="K78" si="51">K66</f>
        <v>4.8422749439999994E-4</v>
      </c>
      <c r="L78" s="45">
        <f t="shared" si="50"/>
        <v>5.1697084800000003E-4</v>
      </c>
      <c r="M78" s="45">
        <f t="shared" si="50"/>
        <v>4.7070326399999997E-4</v>
      </c>
      <c r="N78" s="45">
        <f t="shared" si="50"/>
        <v>7.5614868479999991E-4</v>
      </c>
      <c r="O78" s="45">
        <f t="shared" si="50"/>
        <v>8.2673493120000001E-4</v>
      </c>
      <c r="P78" s="45">
        <f t="shared" si="50"/>
        <v>7.0236202560000009E-4</v>
      </c>
      <c r="Q78" s="45">
        <f t="shared" si="50"/>
        <v>5.7798911999999995E-4</v>
      </c>
      <c r="R78" s="45"/>
      <c r="S78" s="45">
        <f t="shared" si="50"/>
        <v>4.8422749439999999E-5</v>
      </c>
      <c r="T78" s="45">
        <f t="shared" si="50"/>
        <v>5.1697084800000006E-5</v>
      </c>
      <c r="U78" s="45">
        <f t="shared" si="50"/>
        <v>4.70703264E-5</v>
      </c>
      <c r="V78" s="45">
        <f t="shared" si="50"/>
        <v>7.5614868479999991E-5</v>
      </c>
      <c r="W78" s="45">
        <f t="shared" si="50"/>
        <v>8.2673493119999992E-5</v>
      </c>
      <c r="X78" s="45">
        <f t="shared" si="50"/>
        <v>7.0236202560000006E-5</v>
      </c>
      <c r="Y78" s="45">
        <f t="shared" si="50"/>
        <v>5.7798912000000006E-5</v>
      </c>
      <c r="Z78" s="45"/>
      <c r="AA78" s="45">
        <f t="shared" si="50"/>
        <v>1.7961935669164542</v>
      </c>
      <c r="AB78" s="45">
        <f t="shared" ref="AB78:AG78" si="52">AB66</f>
        <v>1.9221043375687143</v>
      </c>
      <c r="AC78" s="45">
        <f t="shared" si="52"/>
        <v>3.7158243143063125</v>
      </c>
      <c r="AD78" s="45">
        <f t="shared" si="52"/>
        <v>2.8170441182885511</v>
      </c>
      <c r="AE78" s="45">
        <f t="shared" si="52"/>
        <v>1.4238184851360778</v>
      </c>
      <c r="AF78" s="45">
        <f t="shared" si="52"/>
        <v>2.0726790070657852</v>
      </c>
      <c r="AG78" s="53">
        <f t="shared" si="52"/>
        <v>2.7215395289954922</v>
      </c>
    </row>
  </sheetData>
  <mergeCells count="1">
    <mergeCell ref="C58:I58"/>
  </mergeCells>
  <pageMargins left="0.7" right="0.7" top="0.75" bottom="0.75" header="0.3" footer="0.3"/>
  <pageSetup paperSize="9" orientation="portrait" verticalDpi="0"/>
  <ignoredErrors>
    <ignoredError sqref="H50:H52 R25 L25:Q25 S25:Z25" formula="1"/>
  </ignoredErrors>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O53"/>
  <sheetViews>
    <sheetView topLeftCell="A16" zoomScale="70" zoomScaleNormal="70" workbookViewId="0">
      <selection activeCell="Z43" sqref="Z43"/>
    </sheetView>
  </sheetViews>
  <sheetFormatPr defaultColWidth="8.85546875" defaultRowHeight="15.75" x14ac:dyDescent="0.25"/>
  <cols>
    <col min="1" max="1" width="14.28515625" style="2" bestFit="1" customWidth="1"/>
    <col min="2" max="2" width="11.42578125" style="2" bestFit="1" customWidth="1"/>
    <col min="3" max="34" width="9.140625" style="2" customWidth="1"/>
    <col min="35" max="41" width="11.42578125" style="2" bestFit="1" customWidth="1"/>
    <col min="42" max="16384" width="8.85546875" style="2"/>
  </cols>
  <sheetData>
    <row r="1" spans="1:41" ht="16.5" thickBot="1" x14ac:dyDescent="0.3">
      <c r="A1" s="21" t="s">
        <v>146</v>
      </c>
    </row>
    <row r="2" spans="1:41" x14ac:dyDescent="0.25">
      <c r="A2" s="39"/>
      <c r="B2" s="40"/>
      <c r="C2" s="217" t="s">
        <v>117</v>
      </c>
      <c r="D2" s="40"/>
      <c r="E2" s="40"/>
      <c r="F2" s="40"/>
      <c r="G2" s="40"/>
      <c r="H2" s="40"/>
      <c r="I2" s="40"/>
      <c r="J2" s="40"/>
      <c r="K2" s="217" t="s">
        <v>142</v>
      </c>
      <c r="L2" s="40"/>
      <c r="M2" s="40"/>
      <c r="N2" s="40"/>
      <c r="O2" s="40"/>
      <c r="P2" s="40"/>
      <c r="Q2" s="40"/>
      <c r="R2" s="40"/>
      <c r="S2" s="217" t="s">
        <v>143</v>
      </c>
      <c r="T2" s="40"/>
      <c r="U2" s="40"/>
      <c r="V2" s="40"/>
      <c r="W2" s="40"/>
      <c r="X2" s="40"/>
      <c r="Y2" s="40"/>
      <c r="Z2" s="40"/>
      <c r="AA2" s="217" t="s">
        <v>145</v>
      </c>
      <c r="AB2" s="40"/>
      <c r="AC2" s="40"/>
      <c r="AD2" s="40"/>
      <c r="AE2" s="40"/>
      <c r="AF2" s="40"/>
      <c r="AG2" s="40"/>
      <c r="AH2" s="40"/>
      <c r="AI2" s="217" t="s">
        <v>174</v>
      </c>
      <c r="AJ2" s="40"/>
      <c r="AK2" s="40"/>
      <c r="AL2" s="40"/>
      <c r="AM2" s="40"/>
      <c r="AN2" s="40"/>
      <c r="AO2" s="41"/>
    </row>
    <row r="3" spans="1:41" s="113" customFormat="1" x14ac:dyDescent="0.25">
      <c r="A3" s="117"/>
      <c r="B3" s="118"/>
      <c r="C3" s="118" t="s">
        <v>30</v>
      </c>
      <c r="D3" s="118" t="s">
        <v>31</v>
      </c>
      <c r="E3" s="118" t="s">
        <v>32</v>
      </c>
      <c r="F3" s="118" t="s">
        <v>33</v>
      </c>
      <c r="G3" s="118" t="s">
        <v>34</v>
      </c>
      <c r="H3" s="118" t="s">
        <v>35</v>
      </c>
      <c r="I3" s="118" t="s">
        <v>0</v>
      </c>
      <c r="J3" s="118"/>
      <c r="K3" s="118" t="s">
        <v>30</v>
      </c>
      <c r="L3" s="118" t="s">
        <v>31</v>
      </c>
      <c r="M3" s="118" t="s">
        <v>32</v>
      </c>
      <c r="N3" s="118" t="s">
        <v>33</v>
      </c>
      <c r="O3" s="118" t="s">
        <v>34</v>
      </c>
      <c r="P3" s="118" t="s">
        <v>35</v>
      </c>
      <c r="Q3" s="118" t="s">
        <v>0</v>
      </c>
      <c r="R3" s="118"/>
      <c r="S3" s="118" t="s">
        <v>30</v>
      </c>
      <c r="T3" s="118" t="s">
        <v>31</v>
      </c>
      <c r="U3" s="118" t="s">
        <v>32</v>
      </c>
      <c r="V3" s="118" t="s">
        <v>33</v>
      </c>
      <c r="W3" s="118" t="s">
        <v>34</v>
      </c>
      <c r="X3" s="118" t="s">
        <v>35</v>
      </c>
      <c r="Y3" s="118" t="s">
        <v>0</v>
      </c>
      <c r="Z3" s="118"/>
      <c r="AA3" s="118" t="s">
        <v>30</v>
      </c>
      <c r="AB3" s="118" t="s">
        <v>31</v>
      </c>
      <c r="AC3" s="118" t="s">
        <v>32</v>
      </c>
      <c r="AD3" s="118" t="s">
        <v>33</v>
      </c>
      <c r="AE3" s="118" t="s">
        <v>34</v>
      </c>
      <c r="AF3" s="118" t="s">
        <v>35</v>
      </c>
      <c r="AG3" s="118" t="s">
        <v>0</v>
      </c>
      <c r="AH3" s="118"/>
      <c r="AI3" s="118" t="s">
        <v>30</v>
      </c>
      <c r="AJ3" s="118" t="s">
        <v>31</v>
      </c>
      <c r="AK3" s="118" t="s">
        <v>32</v>
      </c>
      <c r="AL3" s="118" t="s">
        <v>33</v>
      </c>
      <c r="AM3" s="118" t="s">
        <v>34</v>
      </c>
      <c r="AN3" s="118" t="s">
        <v>35</v>
      </c>
      <c r="AO3" s="119" t="s">
        <v>0</v>
      </c>
    </row>
    <row r="4" spans="1:41" x14ac:dyDescent="0.25">
      <c r="A4" s="215" t="s">
        <v>12</v>
      </c>
      <c r="B4" s="27" t="s">
        <v>106</v>
      </c>
      <c r="C4" s="29">
        <f>'Activity &amp; Emissions'!L20</f>
        <v>574.62375840870004</v>
      </c>
      <c r="D4" s="29">
        <f>'Activity &amp; Emissions'!M20</f>
        <v>615.3307179018999</v>
      </c>
      <c r="E4" s="29">
        <f>'Activity &amp; Emissions'!N20</f>
        <v>660.30321907550001</v>
      </c>
      <c r="F4" s="29">
        <f>'Activity &amp; Emissions'!O20</f>
        <v>681.28863092289998</v>
      </c>
      <c r="G4" s="29">
        <f>'Activity &amp; Emissions'!P20</f>
        <v>715.75902242129996</v>
      </c>
      <c r="H4" s="29">
        <f>'Activity &amp; Emissions'!Q20</f>
        <v>785.35618727279996</v>
      </c>
      <c r="I4" s="29">
        <f>'Activity &amp; Emissions'!R20</f>
        <v>854.95335212429995</v>
      </c>
      <c r="J4" s="114"/>
      <c r="K4" s="29">
        <f>'Activity &amp; Emissions'!T20/21</f>
        <v>5.9975342700000003E-3</v>
      </c>
      <c r="L4" s="29">
        <f>'Activity &amp; Emissions'!U20/21</f>
        <v>6.4224059900000003E-3</v>
      </c>
      <c r="M4" s="29">
        <f>'Activity &amp; Emissions'!V20/21</f>
        <v>6.8917985499999997E-3</v>
      </c>
      <c r="N4" s="29">
        <f>'Activity &amp; Emissions'!W20/21</f>
        <v>7.1108300899999999E-3</v>
      </c>
      <c r="O4" s="29">
        <f>'Activity &amp; Emissions'!X20/21</f>
        <v>7.4706087299999998E-3</v>
      </c>
      <c r="P4" s="29">
        <f>'Activity &amp; Emissions'!Y20/21</f>
        <v>8.1970168799999996E-3</v>
      </c>
      <c r="Q4" s="29">
        <f>'Activity &amp; Emissions'!Z20/21</f>
        <v>8.9234250299999995E-3</v>
      </c>
      <c r="R4" s="29"/>
      <c r="S4" s="29">
        <f>'Activity &amp; Emissions'!AB20/310</f>
        <v>8.3965479779999977E-3</v>
      </c>
      <c r="T4" s="29">
        <f>'Activity &amp; Emissions'!AC20/310</f>
        <v>8.9913683859999989E-3</v>
      </c>
      <c r="U4" s="29">
        <f>'Activity &amp; Emissions'!AD20/310</f>
        <v>9.6485179699999993E-3</v>
      </c>
      <c r="V4" s="29">
        <f>'Activity &amp; Emissions'!AE20/310</f>
        <v>9.9551621259999969E-3</v>
      </c>
      <c r="W4" s="29">
        <f>'Activity &amp; Emissions'!AF20/310</f>
        <v>1.0458852221999999E-2</v>
      </c>
      <c r="X4" s="29">
        <f>'Activity &amp; Emissions'!AG20/310</f>
        <v>1.1475823631999999E-2</v>
      </c>
      <c r="Y4" s="29">
        <f>'Activity &amp; Emissions'!AH20/310</f>
        <v>1.2492795041999996E-2</v>
      </c>
      <c r="Z4" s="29"/>
      <c r="AA4" s="29">
        <f>C4+K4*21+S4*310</f>
        <v>577.35263650155002</v>
      </c>
      <c r="AB4" s="29">
        <f t="shared" ref="AB4:AG4" si="0">D4+L4*21+T4*310</f>
        <v>618.25291262734993</v>
      </c>
      <c r="AC4" s="29">
        <f t="shared" si="0"/>
        <v>663.43898741574992</v>
      </c>
      <c r="AD4" s="29">
        <f t="shared" si="0"/>
        <v>684.52405861385</v>
      </c>
      <c r="AE4" s="29">
        <f t="shared" si="0"/>
        <v>719.15814939345</v>
      </c>
      <c r="AF4" s="29">
        <f t="shared" si="0"/>
        <v>789.0858299532</v>
      </c>
      <c r="AG4" s="29">
        <f t="shared" si="0"/>
        <v>859.01351051294989</v>
      </c>
      <c r="AH4" s="29"/>
      <c r="AI4" s="29">
        <f>'Activity &amp; Emissions'!D20*'Factors and Conversions'!$B$25</f>
        <v>143248.64525063901</v>
      </c>
      <c r="AJ4" s="29">
        <f>'Activity &amp; Emissions'!E20*'Factors and Conversions'!$B$25</f>
        <v>153396.5319579723</v>
      </c>
      <c r="AK4" s="29">
        <f>'Activity &amp; Emissions'!F20*'Factors and Conversions'!$B$25</f>
        <v>164607.78066180492</v>
      </c>
      <c r="AL4" s="29">
        <f>'Activity &amp; Emissions'!G20*'Factors and Conversions'!$B$25</f>
        <v>169839.25912606408</v>
      </c>
      <c r="AM4" s="29">
        <f>'Activity &amp; Emissions'!H20*'Factors and Conversions'!$B$25</f>
        <v>178432.42432528807</v>
      </c>
      <c r="AN4" s="29">
        <f>'Activity &amp; Emissions'!I20*'Factors and Conversions'!$B$25</f>
        <v>195782.38494277414</v>
      </c>
      <c r="AO4" s="34">
        <f>'Activity &amp; Emissions'!J20*'Factors and Conversions'!$B$25</f>
        <v>213132.34556026018</v>
      </c>
    </row>
    <row r="5" spans="1:41" x14ac:dyDescent="0.25">
      <c r="A5" s="216"/>
      <c r="B5" s="27" t="s">
        <v>107</v>
      </c>
      <c r="C5" s="29">
        <f>'Activity &amp; Emissions'!L21</f>
        <v>3.3033974580966996</v>
      </c>
      <c r="D5" s="29">
        <f>'Activity &amp; Emissions'!M21</f>
        <v>3.9925885613967771</v>
      </c>
      <c r="E5" s="29">
        <f>'Activity &amp; Emissions'!N21</f>
        <v>4.0527249458173449</v>
      </c>
      <c r="F5" s="29">
        <f>'Activity &amp; Emissions'!O21</f>
        <v>3.0210981250959326</v>
      </c>
      <c r="G5" s="29">
        <f>'Activity &amp; Emissions'!P21</f>
        <v>2.6917414038372987</v>
      </c>
      <c r="H5" s="29">
        <f>'Activity &amp; Emissions'!Q21</f>
        <v>2.4913882813123562</v>
      </c>
      <c r="I5" s="29">
        <f>'Activity &amp; Emissions'!R21</f>
        <v>2.2910351587874134</v>
      </c>
      <c r="J5" s="114"/>
      <c r="K5" s="29">
        <f>'Activity &amp; Emissions'!T21/21</f>
        <v>1.2803866116653875E-4</v>
      </c>
      <c r="L5" s="29">
        <f>'Activity &amp; Emissions'!U21/21</f>
        <v>1.5475149462778205E-4</v>
      </c>
      <c r="M5" s="29">
        <f>'Activity &amp; Emissions'!V21/21</f>
        <v>1.5708236224098237E-4</v>
      </c>
      <c r="N5" s="29">
        <f>'Activity &amp; Emissions'!W21/21</f>
        <v>1.1709682655410591E-4</v>
      </c>
      <c r="O5" s="29">
        <f>'Activity &amp; Emissions'!X21/21</f>
        <v>1.0433106216423637E-4</v>
      </c>
      <c r="P5" s="29">
        <f>'Activity &amp; Emissions'!Y21/21</f>
        <v>9.6565437260168823E-5</v>
      </c>
      <c r="Q5" s="29">
        <f>'Activity &amp; Emissions'!Z21/21</f>
        <v>8.8799812356101293E-5</v>
      </c>
      <c r="R5" s="29"/>
      <c r="S5" s="29">
        <f>'Activity &amp; Emissions'!AB21/310</f>
        <v>2.5607732233307751E-5</v>
      </c>
      <c r="T5" s="29">
        <f>'Activity &amp; Emissions'!AC21/310</f>
        <v>3.0950298925556407E-5</v>
      </c>
      <c r="U5" s="29">
        <f>'Activity &amp; Emissions'!AD21/310</f>
        <v>3.1416472448196476E-5</v>
      </c>
      <c r="V5" s="29">
        <f>'Activity &amp; Emissions'!AE21/310</f>
        <v>2.3419365310821185E-5</v>
      </c>
      <c r="W5" s="29">
        <f>'Activity &amp; Emissions'!AF21/310</f>
        <v>2.0866212432847276E-5</v>
      </c>
      <c r="X5" s="29">
        <f>'Activity &amp; Emissions'!AG21/310</f>
        <v>1.931308745203377E-5</v>
      </c>
      <c r="Y5" s="29">
        <f>'Activity &amp; Emissions'!AH21/310</f>
        <v>1.775996247122026E-5</v>
      </c>
      <c r="Z5" s="29"/>
      <c r="AA5" s="29">
        <f t="shared" ref="AA5:AA15" si="1">C5+K5*21+S5*310</f>
        <v>3.3140246669735225</v>
      </c>
      <c r="AB5" s="29">
        <f t="shared" ref="AB5:AB15" si="2">D5+L5*21+T5*310</f>
        <v>4.0054329354508829</v>
      </c>
      <c r="AC5" s="29">
        <f t="shared" ref="AC5:AC15" si="3">E5+M5*21+U5*310</f>
        <v>4.0657627818833468</v>
      </c>
      <c r="AD5" s="29">
        <f t="shared" ref="AD5:AD15" si="4">F5+N5*21+V5*310</f>
        <v>3.0308171616999235</v>
      </c>
      <c r="AE5" s="29">
        <f t="shared" ref="AE5:AE15" si="5">G5+O5*21+W5*310</f>
        <v>2.7004008819969303</v>
      </c>
      <c r="AF5" s="29">
        <f t="shared" ref="AF5:AF15" si="6">H5+P5*21+X5*310</f>
        <v>2.4994032126049506</v>
      </c>
      <c r="AG5" s="29">
        <f t="shared" ref="AG5:AG15" si="7">I5+Q5*21+Y5*310</f>
        <v>2.29840554321297</v>
      </c>
      <c r="AH5" s="29"/>
      <c r="AI5" s="29">
        <f>'Activity &amp; Emissions'!D21*'Factors and Conversions'!$B$25</f>
        <v>1019.3836292333671</v>
      </c>
      <c r="AJ5" s="29">
        <f>'Activity &amp; Emissions'!E21*'Factors and Conversions'!$B$25</f>
        <v>1232.0586515487762</v>
      </c>
      <c r="AK5" s="29">
        <f>'Activity &amp; Emissions'!F21*'Factors and Conversions'!$B$25</f>
        <v>1250.6159237442121</v>
      </c>
      <c r="AL5" s="29">
        <f>'Activity &amp; Emissions'!G21*'Factors and Conversions'!$B$25</f>
        <v>932.26988580562818</v>
      </c>
      <c r="AM5" s="29">
        <f>'Activity &amp; Emissions'!H21*'Factors and Conversions'!$B$25</f>
        <v>830.63487091932666</v>
      </c>
      <c r="AN5" s="29">
        <f>'Activity &amp; Emissions'!I21*'Factors and Conversions'!$B$25</f>
        <v>768.80861605340829</v>
      </c>
      <c r="AO5" s="34">
        <f>'Activity &amp; Emissions'!J21*'Factors and Conversions'!$B$25</f>
        <v>706.98236118748991</v>
      </c>
    </row>
    <row r="6" spans="1:41" x14ac:dyDescent="0.25">
      <c r="A6" s="216"/>
      <c r="B6" s="27" t="s">
        <v>108</v>
      </c>
      <c r="C6" s="29">
        <f>'Activity &amp; Emissions'!L22</f>
        <v>0.72702653242769488</v>
      </c>
      <c r="D6" s="29">
        <f>'Activity &amp; Emissions'!M22</f>
        <v>0.67434227668711644</v>
      </c>
      <c r="E6" s="29">
        <f>'Activity &amp; Emissions'!N22</f>
        <v>0.7094111245398772</v>
      </c>
      <c r="F6" s="29">
        <f>'Activity &amp; Emissions'!O22</f>
        <v>0.71559383111305874</v>
      </c>
      <c r="G6" s="29">
        <f>'Activity &amp; Emissions'!P22</f>
        <v>0.91079310368098154</v>
      </c>
      <c r="H6" s="29">
        <f>'Activity &amp; Emissions'!Q22</f>
        <v>0.77595480788781779</v>
      </c>
      <c r="I6" s="29">
        <f>'Activity &amp; Emissions'!R22</f>
        <v>0.6411165120946537</v>
      </c>
      <c r="J6" s="114"/>
      <c r="K6" s="29">
        <f>'Activity &amp; Emissions'!T22/21</f>
        <v>2.9434272567922873E-5</v>
      </c>
      <c r="L6" s="29">
        <f>'Activity &amp; Emissions'!U22/21</f>
        <v>2.7301306748466256E-5</v>
      </c>
      <c r="M6" s="29">
        <f>'Activity &amp; Emissions'!V22/21</f>
        <v>2.8721098159509202E-5</v>
      </c>
      <c r="N6" s="29">
        <f>'Activity &amp; Emissions'!W22/21</f>
        <v>2.8971410166520598E-5</v>
      </c>
      <c r="O6" s="29">
        <f>'Activity &amp; Emissions'!X22/21</f>
        <v>3.6874214723926376E-5</v>
      </c>
      <c r="P6" s="29">
        <f>'Activity &amp; Emissions'!Y22/21</f>
        <v>3.1415174408413672E-5</v>
      </c>
      <c r="Q6" s="29">
        <f>'Activity &amp; Emissions'!Z22/21</f>
        <v>2.5956134092900961E-5</v>
      </c>
      <c r="R6" s="29"/>
      <c r="S6" s="29">
        <f>'Activity &amp; Emissions'!AB22/310</f>
        <v>5.886854513584573E-6</v>
      </c>
      <c r="T6" s="29">
        <f>'Activity &amp; Emissions'!AC22/310</f>
        <v>5.4602613496932511E-6</v>
      </c>
      <c r="U6" s="29">
        <f>'Activity &amp; Emissions'!AD22/310</f>
        <v>5.7442196319018399E-6</v>
      </c>
      <c r="V6" s="29">
        <f>'Activity &amp; Emissions'!AE22/310</f>
        <v>5.7942820333041188E-6</v>
      </c>
      <c r="W6" s="29">
        <f>'Activity &amp; Emissions'!AF22/310</f>
        <v>7.3748429447852758E-6</v>
      </c>
      <c r="X6" s="29">
        <f>'Activity &amp; Emissions'!AG22/310</f>
        <v>6.2830348816827344E-6</v>
      </c>
      <c r="Y6" s="29">
        <f>'Activity &amp; Emissions'!AH22/310</f>
        <v>5.191226818580193E-6</v>
      </c>
      <c r="Z6" s="29"/>
      <c r="AA6" s="29">
        <f t="shared" si="1"/>
        <v>0.72946957705083249</v>
      </c>
      <c r="AB6" s="29">
        <f t="shared" si="2"/>
        <v>0.67660828514723914</v>
      </c>
      <c r="AC6" s="29">
        <f t="shared" si="3"/>
        <v>0.71179497568711647</v>
      </c>
      <c r="AD6" s="29">
        <f t="shared" si="4"/>
        <v>0.7179984581568799</v>
      </c>
      <c r="AE6" s="29">
        <f t="shared" si="5"/>
        <v>0.91385366350306751</v>
      </c>
      <c r="AF6" s="29">
        <f t="shared" si="6"/>
        <v>0.77856226736371603</v>
      </c>
      <c r="AG6" s="29">
        <f t="shared" si="7"/>
        <v>0.64327087122436444</v>
      </c>
      <c r="AH6" s="29"/>
      <c r="AI6" s="29">
        <f>'Activity &amp; Emissions'!D22*'Factors and Conversions'!$B$25</f>
        <v>234.3418411342677</v>
      </c>
      <c r="AJ6" s="29">
        <f>'Activity &amp; Emissions'!E22*'Factors and Conversions'!$B$25</f>
        <v>217.36016998698588</v>
      </c>
      <c r="AK6" s="29">
        <f>'Activity &amp; Emissions'!F22*'Factors and Conversions'!$B$25</f>
        <v>228.66388175776748</v>
      </c>
      <c r="AL6" s="29">
        <f>'Activity &amp; Emissions'!G22*'Factors and Conversions'!$B$25</f>
        <v>230.65674828591773</v>
      </c>
      <c r="AM6" s="29">
        <f>'Activity &amp; Emissions'!H22*'Factors and Conversions'!$B$25</f>
        <v>293.57516306356013</v>
      </c>
      <c r="AN6" s="29">
        <f>'Activity &amp; Emissions'!I22*'Factors and Conversions'!$B$25</f>
        <v>250.11285036630028</v>
      </c>
      <c r="AO6" s="34">
        <f>'Activity &amp; Emissions'!J22*'Factors and Conversions'!$B$25</f>
        <v>206.65053766904038</v>
      </c>
    </row>
    <row r="7" spans="1:41" x14ac:dyDescent="0.25">
      <c r="A7" s="216"/>
      <c r="B7" s="27" t="s">
        <v>109</v>
      </c>
      <c r="C7" s="29">
        <f>'Activity &amp; Emissions'!L23</f>
        <v>1.2556746085763626</v>
      </c>
      <c r="D7" s="29">
        <f>'Activity &amp; Emissions'!M23</f>
        <v>1.1822738281082119</v>
      </c>
      <c r="E7" s="29">
        <f>'Activity &amp; Emissions'!N23</f>
        <v>1.0877229036262472</v>
      </c>
      <c r="F7" s="29">
        <f>'Activity &amp; Emissions'!O23</f>
        <v>0.37686944666155026</v>
      </c>
      <c r="G7" s="29">
        <f>'Activity &amp; Emissions'!P23</f>
        <v>1.3283149788948583E-2</v>
      </c>
      <c r="H7" s="29">
        <f>'Activity &amp; Emissions'!Q23</f>
        <v>6.930332875095932E-2</v>
      </c>
      <c r="I7" s="29">
        <f>'Activity &amp; Emissions'!R23</f>
        <v>0.12532350771297007</v>
      </c>
      <c r="J7" s="114"/>
      <c r="K7" s="29">
        <f>'Activity &amp; Emissions'!T23/21</f>
        <v>5.1391866653875681E-5</v>
      </c>
      <c r="L7" s="29">
        <f>'Activity &amp; Emissions'!U23/21</f>
        <v>4.838774194167308E-5</v>
      </c>
      <c r="M7" s="29">
        <f>'Activity &amp; Emissions'!V23/21</f>
        <v>4.4517990598618576E-5</v>
      </c>
      <c r="N7" s="29">
        <f>'Activity &amp; Emissions'!W23/21</f>
        <v>1.5424397544128933E-5</v>
      </c>
      <c r="O7" s="29">
        <f>'Activity &amp; Emissions'!X23/21</f>
        <v>5.4364869531849593E-7</v>
      </c>
      <c r="P7" s="29">
        <f>'Activity &amp; Emissions'!Y23/21</f>
        <v>2.8364254604758251E-6</v>
      </c>
      <c r="Q7" s="29">
        <f>'Activity &amp; Emissions'!Z23/21</f>
        <v>5.1292022256331545E-6</v>
      </c>
      <c r="R7" s="29"/>
      <c r="S7" s="29">
        <f>'Activity &amp; Emissions'!AB23/310</f>
        <v>1.0278373330775137E-5</v>
      </c>
      <c r="T7" s="29">
        <f>'Activity &amp; Emissions'!AC23/310</f>
        <v>9.6775483883346143E-6</v>
      </c>
      <c r="U7" s="29">
        <f>'Activity &amp; Emissions'!AD23/310</f>
        <v>8.9035981197237162E-6</v>
      </c>
      <c r="V7" s="29">
        <f>'Activity &amp; Emissions'!AE23/310</f>
        <v>3.0848795088257865E-6</v>
      </c>
      <c r="W7" s="29">
        <f>'Activity &amp; Emissions'!AF23/310</f>
        <v>1.0872973906369917E-7</v>
      </c>
      <c r="X7" s="29">
        <f>'Activity &amp; Emissions'!AG23/310</f>
        <v>5.6728509209516498E-7</v>
      </c>
      <c r="Y7" s="29">
        <f>'Activity &amp; Emissions'!AH23/310</f>
        <v>1.0258404451266308E-6</v>
      </c>
      <c r="Z7" s="29"/>
      <c r="AA7" s="29">
        <f t="shared" si="1"/>
        <v>1.2599401335086344</v>
      </c>
      <c r="AB7" s="29">
        <f t="shared" si="2"/>
        <v>1.1862900106893708</v>
      </c>
      <c r="AC7" s="29">
        <f t="shared" si="3"/>
        <v>1.0914178968459327</v>
      </c>
      <c r="AD7" s="29">
        <f t="shared" si="4"/>
        <v>0.37814967165771296</v>
      </c>
      <c r="AE7" s="29">
        <f t="shared" si="5"/>
        <v>1.3328272630660019E-2</v>
      </c>
      <c r="AF7" s="29">
        <f t="shared" si="6"/>
        <v>6.953875206417881E-2</v>
      </c>
      <c r="AG7" s="29">
        <f t="shared" si="7"/>
        <v>0.12574923149769762</v>
      </c>
      <c r="AH7" s="29"/>
      <c r="AI7" s="29">
        <f>'Activity &amp; Emissions'!D23*'Factors and Conversions'!$B$25</f>
        <v>409.15788298164421</v>
      </c>
      <c r="AJ7" s="29">
        <f>'Activity &amp; Emissions'!E23*'Factors and Conversions'!$B$25</f>
        <v>385.24045426211421</v>
      </c>
      <c r="AK7" s="29">
        <f>'Activity &amp; Emissions'!F23*'Factors and Conversions'!$B$25</f>
        <v>354.43131323882074</v>
      </c>
      <c r="AL7" s="29">
        <f>'Activity &amp; Emissions'!G23*'Factors and Conversions'!$B$25</f>
        <v>122.80180223706908</v>
      </c>
      <c r="AM7" s="29">
        <f>'Activity &amp; Emissions'!H23*'Factors and Conversions'!$B$25</f>
        <v>4.3282753428741954</v>
      </c>
      <c r="AN7" s="29">
        <f>'Activity &amp; Emissions'!I23*'Factors and Conversions'!$B$25</f>
        <v>22.582286112699549</v>
      </c>
      <c r="AO7" s="34">
        <f>'Activity &amp; Emissions'!J23*'Factors and Conversions'!$B$25</f>
        <v>40.836296882524906</v>
      </c>
    </row>
    <row r="8" spans="1:41" x14ac:dyDescent="0.25">
      <c r="A8" s="66"/>
      <c r="B8" s="27" t="s">
        <v>8</v>
      </c>
      <c r="C8" s="29">
        <f>'Activity &amp; Emissions'!L24</f>
        <v>0.13908581280000001</v>
      </c>
      <c r="D8" s="29">
        <f>'Activity &amp; Emissions'!M24</f>
        <v>0.59024291039999999</v>
      </c>
      <c r="E8" s="29">
        <f>'Activity &amp; Emissions'!N24</f>
        <v>0.16035893280000002</v>
      </c>
      <c r="F8" s="29">
        <f>'Activity &amp; Emissions'!O24</f>
        <v>0.78985748160000002</v>
      </c>
      <c r="G8" s="29">
        <f>'Activity &amp; Emissions'!P24</f>
        <v>1.6453977408</v>
      </c>
      <c r="H8" s="29">
        <f>'Activity &amp; Emissions'!Q24</f>
        <v>1.0751825304</v>
      </c>
      <c r="I8" s="29">
        <f>'Activity &amp; Emissions'!R24</f>
        <v>0.50496732000000011</v>
      </c>
      <c r="J8" s="114"/>
      <c r="K8" s="29">
        <f>'Activity &amp; Emissions'!T24/21</f>
        <v>2.479248E-6</v>
      </c>
      <c r="L8" s="29">
        <f>'Activity &amp; Emissions'!U24/21</f>
        <v>1.0521263999999999E-5</v>
      </c>
      <c r="M8" s="29">
        <f>'Activity &amp; Emissions'!V24/21</f>
        <v>2.8584479999999997E-6</v>
      </c>
      <c r="N8" s="29">
        <f>'Activity &amp; Emissions'!W24/21</f>
        <v>1.4079456000000003E-5</v>
      </c>
      <c r="O8" s="29">
        <f>'Activity &amp; Emissions'!X24/21</f>
        <v>2.9329727999999998E-5</v>
      </c>
      <c r="P8" s="29">
        <f>'Activity &amp; Emissions'!Y24/21</f>
        <v>1.9165464E-5</v>
      </c>
      <c r="Q8" s="29">
        <f>'Activity &amp; Emissions'!Z24/21</f>
        <v>9.0012000000000012E-6</v>
      </c>
      <c r="R8" s="29"/>
      <c r="S8" s="29">
        <f>'Activity &amp; Emissions'!AB24/310</f>
        <v>2.4792480000000001E-7</v>
      </c>
      <c r="T8" s="29">
        <f>'Activity &amp; Emissions'!AC24/310</f>
        <v>1.0521263999999997E-6</v>
      </c>
      <c r="U8" s="29">
        <f>'Activity &amp; Emissions'!AD24/310</f>
        <v>2.8584480000000002E-7</v>
      </c>
      <c r="V8" s="29">
        <f>'Activity &amp; Emissions'!AE24/310</f>
        <v>1.4079455999999999E-6</v>
      </c>
      <c r="W8" s="29">
        <f>'Activity &amp; Emissions'!AF24/310</f>
        <v>2.9329728000000001E-6</v>
      </c>
      <c r="X8" s="29">
        <f>'Activity &amp; Emissions'!AG24/310</f>
        <v>1.9165464000000004E-6</v>
      </c>
      <c r="Y8" s="29">
        <f>'Activity &amp; Emissions'!AH24/310</f>
        <v>9.0011999999999999E-7</v>
      </c>
      <c r="Z8" s="29"/>
      <c r="AA8" s="29">
        <f t="shared" si="1"/>
        <v>0.13921473369600001</v>
      </c>
      <c r="AB8" s="29">
        <f t="shared" si="2"/>
        <v>0.59079001612799997</v>
      </c>
      <c r="AC8" s="29">
        <f t="shared" si="3"/>
        <v>0.16050757209600003</v>
      </c>
      <c r="AD8" s="29">
        <f t="shared" si="4"/>
        <v>0.79058961331200006</v>
      </c>
      <c r="AE8" s="29">
        <f t="shared" si="5"/>
        <v>1.646922886656</v>
      </c>
      <c r="AF8" s="29">
        <f t="shared" si="6"/>
        <v>1.0761791345279998</v>
      </c>
      <c r="AG8" s="29">
        <f t="shared" si="7"/>
        <v>0.50543538240000008</v>
      </c>
      <c r="AH8" s="29"/>
      <c r="AI8" s="29">
        <f>'Activity &amp; Emissions'!D24*'Factors and Conversions'!$B$25</f>
        <v>59.215821244545602</v>
      </c>
      <c r="AJ8" s="29">
        <f>'Activity &amp; Emissions'!E24*'Factors and Conversions'!$B$25</f>
        <v>251.29607376538078</v>
      </c>
      <c r="AK8" s="29">
        <f>'Activity &amp; Emissions'!F24*'Factors and Conversions'!$B$25</f>
        <v>68.272857658785597</v>
      </c>
      <c r="AL8" s="29">
        <f>'Activity &amp; Emissions'!G24*'Factors and Conversions'!$B$25</f>
        <v>336.28202975920323</v>
      </c>
      <c r="AM8" s="29">
        <f>'Activity &amp; Emissions'!H24*'Factors and Conversions'!$B$25</f>
        <v>700.52851929260157</v>
      </c>
      <c r="AN8" s="29">
        <f>'Activity &amp; Emissions'!I24*'Factors and Conversions'!$B$25</f>
        <v>457.7592440501208</v>
      </c>
      <c r="AO8" s="34">
        <f>'Activity &amp; Emissions'!J24*'Factors and Conversions'!$B$25</f>
        <v>214.98996880764003</v>
      </c>
    </row>
    <row r="9" spans="1:41" x14ac:dyDescent="0.25">
      <c r="A9" s="215"/>
      <c r="B9" s="27" t="s">
        <v>110</v>
      </c>
      <c r="C9" s="29">
        <f>'Activity &amp; Emissions'!L25</f>
        <v>23.991943387500005</v>
      </c>
      <c r="D9" s="29">
        <f>'Activity &amp; Emissions'!M25</f>
        <v>26.8514333175</v>
      </c>
      <c r="E9" s="29">
        <f>'Activity &amp; Emissions'!N25</f>
        <v>25.820782630499998</v>
      </c>
      <c r="F9" s="29">
        <f>'Activity &amp; Emissions'!O25</f>
        <v>27.560134239</v>
      </c>
      <c r="G9" s="29">
        <f>'Activity &amp; Emissions'!P25</f>
        <v>29.778810418500001</v>
      </c>
      <c r="H9" s="29">
        <f>'Activity &amp; Emissions'!Q25</f>
        <v>31.263070839000001</v>
      </c>
      <c r="I9" s="29">
        <f>'Activity &amp; Emissions'!R25</f>
        <v>32.747331259499994</v>
      </c>
      <c r="J9" s="114"/>
      <c r="K9" s="29">
        <f>'Activity &amp; Emissions'!T25/21</f>
        <v>2.2601925E-4</v>
      </c>
      <c r="L9" s="29">
        <f>'Activity &amp; Emissions'!U25/21</f>
        <v>2.5295744999999999E-4</v>
      </c>
      <c r="M9" s="29">
        <f>'Activity &amp; Emissions'!V25/21</f>
        <v>2.4324806999999999E-4</v>
      </c>
      <c r="N9" s="29">
        <f>'Activity &amp; Emissions'!W25/21</f>
        <v>2.5963385999999998E-4</v>
      </c>
      <c r="O9" s="29">
        <f>'Activity &amp; Emissions'!X25/21</f>
        <v>2.8053519E-4</v>
      </c>
      <c r="P9" s="29">
        <f>'Activity &amp; Emissions'!Y25/21</f>
        <v>2.9451785999999998E-4</v>
      </c>
      <c r="Q9" s="29">
        <f>'Activity &amp; Emissions'!Z25/21</f>
        <v>3.0850052999999996E-4</v>
      </c>
      <c r="R9" s="29"/>
      <c r="S9" s="29">
        <f>'Activity &amp; Emissions'!AB25/310</f>
        <v>3.1642694999999991E-4</v>
      </c>
      <c r="T9" s="29">
        <f>'Activity &amp; Emissions'!AC25/310</f>
        <v>3.5414042999999993E-4</v>
      </c>
      <c r="U9" s="29">
        <f>'Activity &amp; Emissions'!AD25/310</f>
        <v>3.4054729799999997E-4</v>
      </c>
      <c r="V9" s="29">
        <f>'Activity &amp; Emissions'!AE25/310</f>
        <v>3.6348740400000002E-4</v>
      </c>
      <c r="W9" s="29">
        <f>'Activity &amp; Emissions'!AF25/310</f>
        <v>3.9274926600000004E-4</v>
      </c>
      <c r="X9" s="29">
        <f>'Activity &amp; Emissions'!AG25/310</f>
        <v>4.1232500399999994E-4</v>
      </c>
      <c r="Y9" s="29">
        <f>'Activity &amp; Emissions'!AH25/310</f>
        <v>4.3190074199999989E-4</v>
      </c>
      <c r="Z9" s="29"/>
      <c r="AA9" s="29">
        <f t="shared" si="1"/>
        <v>24.094782146250004</v>
      </c>
      <c r="AB9" s="29">
        <f t="shared" si="2"/>
        <v>26.966528957249999</v>
      </c>
      <c r="AC9" s="29">
        <f t="shared" si="3"/>
        <v>25.931460502349996</v>
      </c>
      <c r="AD9" s="29">
        <f t="shared" si="4"/>
        <v>27.6782676453</v>
      </c>
      <c r="AE9" s="29">
        <f t="shared" si="5"/>
        <v>29.906453929950001</v>
      </c>
      <c r="AF9" s="29">
        <f t="shared" si="6"/>
        <v>31.397076465300003</v>
      </c>
      <c r="AG9" s="29">
        <f t="shared" si="7"/>
        <v>32.887699000649995</v>
      </c>
      <c r="AH9" s="29"/>
      <c r="AI9" s="29">
        <f>'Activity &amp; Emissions'!D25*'Factors and Conversions'!$B$25</f>
        <v>5398.377050551725</v>
      </c>
      <c r="AJ9" s="29">
        <f>'Activity &amp; Emissions'!E25*'Factors and Conversions'!$B$25</f>
        <v>6041.7849048082644</v>
      </c>
      <c r="AK9" s="29">
        <f>'Activity &amp; Emissions'!F25*'Factors and Conversions'!$B$25</f>
        <v>5809.8803472668787</v>
      </c>
      <c r="AL9" s="29">
        <f>'Activity &amp; Emissions'!G25*'Factors and Conversions'!$B$25</f>
        <v>6201.2482183272414</v>
      </c>
      <c r="AM9" s="29">
        <f>'Activity &amp; Emissions'!H25*'Factors and Conversions'!$B$25</f>
        <v>6700.4679095615429</v>
      </c>
      <c r="AN9" s="29">
        <f>'Activity &amp; Emissions'!I25*'Factors and Conversions'!$B$25</f>
        <v>7034.4382454220413</v>
      </c>
      <c r="AO9" s="34">
        <f>'Activity &amp; Emissions'!J25*'Factors and Conversions'!$B$25</f>
        <v>7368.4085812825406</v>
      </c>
    </row>
    <row r="10" spans="1:41" x14ac:dyDescent="0.25">
      <c r="A10" s="215" t="s">
        <v>16</v>
      </c>
      <c r="B10" s="27" t="s">
        <v>111</v>
      </c>
      <c r="C10" s="29">
        <f>'Activity &amp; Emissions'!L26</f>
        <v>27.165162435839999</v>
      </c>
      <c r="D10" s="29">
        <f>'Activity &amp; Emissions'!M26</f>
        <v>29.002064572799998</v>
      </c>
      <c r="E10" s="29">
        <f>'Activity &amp; Emissions'!N26</f>
        <v>26.406453110399998</v>
      </c>
      <c r="F10" s="29">
        <f>'Activity &amp; Emissions'!O26</f>
        <v>42.419941217279998</v>
      </c>
      <c r="G10" s="29">
        <f>'Activity &amp; Emissions'!P26</f>
        <v>46.379829640319997</v>
      </c>
      <c r="H10" s="29">
        <f>'Activity &amp; Emissions'!Q26</f>
        <v>39.402509636159998</v>
      </c>
      <c r="I10" s="29">
        <f>'Activity &amp; Emissions'!R26</f>
        <v>32.425189631999999</v>
      </c>
      <c r="J10" s="114"/>
      <c r="K10" s="29">
        <f>'Activity &amp; Emissions'!T26/21</f>
        <v>4.8422749439999994E-4</v>
      </c>
      <c r="L10" s="29">
        <f>'Activity &amp; Emissions'!U26/21</f>
        <v>5.1697084800000003E-4</v>
      </c>
      <c r="M10" s="29">
        <f>'Activity &amp; Emissions'!V26/21</f>
        <v>4.7070326399999997E-4</v>
      </c>
      <c r="N10" s="29">
        <f>'Activity &amp; Emissions'!W26/21</f>
        <v>7.5614868479999991E-4</v>
      </c>
      <c r="O10" s="29">
        <f>'Activity &amp; Emissions'!X26/21</f>
        <v>8.2673493120000001E-4</v>
      </c>
      <c r="P10" s="29">
        <f>'Activity &amp; Emissions'!Y26/21</f>
        <v>7.0236202560000009E-4</v>
      </c>
      <c r="Q10" s="29">
        <f>'Activity &amp; Emissions'!Z26/21</f>
        <v>5.7798911999999995E-4</v>
      </c>
      <c r="R10" s="29"/>
      <c r="S10" s="29">
        <f>'Activity &amp; Emissions'!AB26/310</f>
        <v>4.8422749439999999E-5</v>
      </c>
      <c r="T10" s="29">
        <f>'Activity &amp; Emissions'!AC26/310</f>
        <v>5.1697084800000006E-5</v>
      </c>
      <c r="U10" s="29">
        <f>'Activity &amp; Emissions'!AD26/310</f>
        <v>4.70703264E-5</v>
      </c>
      <c r="V10" s="29">
        <f>'Activity &amp; Emissions'!AE26/310</f>
        <v>7.5614868479999991E-5</v>
      </c>
      <c r="W10" s="29">
        <f>'Activity &amp; Emissions'!AF26/310</f>
        <v>8.2673493119999992E-5</v>
      </c>
      <c r="X10" s="29">
        <f>'Activity &amp; Emissions'!AG26/310</f>
        <v>7.0236202560000006E-5</v>
      </c>
      <c r="Y10" s="29">
        <f>'Activity &amp; Emissions'!AH26/310</f>
        <v>5.7798912000000006E-5</v>
      </c>
      <c r="Z10" s="29"/>
      <c r="AA10" s="29">
        <f t="shared" si="1"/>
        <v>27.1903422655488</v>
      </c>
      <c r="AB10" s="29">
        <f t="shared" si="2"/>
        <v>29.028947056896001</v>
      </c>
      <c r="AC10" s="29">
        <f t="shared" si="3"/>
        <v>26.430929680127999</v>
      </c>
      <c r="AD10" s="29">
        <f t="shared" si="4"/>
        <v>42.4592609488896</v>
      </c>
      <c r="AE10" s="29">
        <f t="shared" si="5"/>
        <v>46.4228198567424</v>
      </c>
      <c r="AF10" s="29">
        <f t="shared" si="6"/>
        <v>39.439032461491195</v>
      </c>
      <c r="AG10" s="29">
        <f t="shared" si="7"/>
        <v>32.455245066240003</v>
      </c>
      <c r="AH10" s="29"/>
      <c r="AI10" s="29">
        <f>'Activity &amp; Emissions'!D26*'Factors and Conversions'!$B$25</f>
        <v>11565.575025203047</v>
      </c>
      <c r="AJ10" s="29">
        <f>'Activity &amp; Emissions'!E26*'Factors and Conversions'!$B$25</f>
        <v>12347.636591341066</v>
      </c>
      <c r="AK10" s="29">
        <f>'Activity &amp; Emissions'!F26*'Factors and Conversions'!$B$25</f>
        <v>11242.55433109078</v>
      </c>
      <c r="AL10" s="29">
        <f>'Activity &amp; Emissions'!G26*'Factors and Conversions'!$B$25</f>
        <v>18060.301088642624</v>
      </c>
      <c r="AM10" s="29">
        <f>'Activity &amp; Emissions'!H26*'Factors and Conversions'!$B$25</f>
        <v>19746.224622369726</v>
      </c>
      <c r="AN10" s="29">
        <f>'Activity &amp; Emissions'!I26*'Factors and Conversions'!$B$25</f>
        <v>16775.628802316896</v>
      </c>
      <c r="AO10" s="34">
        <f>'Activity &amp; Emissions'!J26*'Factors and Conversions'!$B$25</f>
        <v>13805.032982264063</v>
      </c>
    </row>
    <row r="11" spans="1:41" x14ac:dyDescent="0.25">
      <c r="A11" s="215"/>
      <c r="B11" s="27" t="s">
        <v>112</v>
      </c>
      <c r="C11" s="29">
        <f>'Activity &amp; Emissions'!L27</f>
        <v>1.0552841268595041</v>
      </c>
      <c r="D11" s="29">
        <f>'Activity &amp; Emissions'!M27</f>
        <v>1.2293471665735536</v>
      </c>
      <c r="E11" s="29">
        <f>'Activity &amp; Emissions'!N27</f>
        <v>0.78583524668677684</v>
      </c>
      <c r="F11" s="29">
        <f>'Activity &amp; Emissions'!O27</f>
        <v>0.52616572687438012</v>
      </c>
      <c r="G11" s="29">
        <f>'Activity &amp; Emissions'!P27</f>
        <v>4.0376556602479338E-2</v>
      </c>
      <c r="H11" s="29">
        <f>'Activity &amp; Emissions'!Q27</f>
        <v>0.45893125507809918</v>
      </c>
      <c r="I11" s="29">
        <f>'Activity &amp; Emissions'!R27</f>
        <v>0.87748595355371883</v>
      </c>
      <c r="J11" s="114"/>
      <c r="K11" s="29">
        <f>'Activity &amp; Emissions'!T27/21</f>
        <v>4.2724053719008265E-5</v>
      </c>
      <c r="L11" s="29">
        <f>'Activity &amp; Emissions'!U27/21</f>
        <v>4.9771140347107439E-5</v>
      </c>
      <c r="M11" s="29">
        <f>'Activity &amp; Emissions'!V27/21</f>
        <v>3.1815192173553729E-5</v>
      </c>
      <c r="N11" s="29">
        <f>'Activity &amp; Emissions'!W27/21</f>
        <v>2.1302256148760331E-5</v>
      </c>
      <c r="O11" s="29">
        <f>'Activity &amp; Emissions'!X27/21</f>
        <v>1.6346784049586776E-6</v>
      </c>
      <c r="P11" s="29">
        <f>'Activity &amp; Emissions'!Y27/21</f>
        <v>1.8580212756198352E-5</v>
      </c>
      <c r="Q11" s="29">
        <f>'Activity &amp; Emissions'!Z27/21</f>
        <v>3.5525747107438018E-5</v>
      </c>
      <c r="R11" s="29"/>
      <c r="S11" s="29">
        <f>'Activity &amp; Emissions'!AB27/310</f>
        <v>8.5448107438016528E-6</v>
      </c>
      <c r="T11" s="29">
        <f>'Activity &amp; Emissions'!AC27/310</f>
        <v>9.9542280694214874E-6</v>
      </c>
      <c r="U11" s="29">
        <f>'Activity &amp; Emissions'!AD27/310</f>
        <v>6.3630384347107447E-6</v>
      </c>
      <c r="V11" s="29">
        <f>'Activity &amp; Emissions'!AE27/310</f>
        <v>4.2604512297520663E-6</v>
      </c>
      <c r="W11" s="29">
        <f>'Activity &amp; Emissions'!AF27/310</f>
        <v>3.2693568099173554E-7</v>
      </c>
      <c r="X11" s="29">
        <f>'Activity &amp; Emissions'!AG27/310</f>
        <v>3.71604255123967E-6</v>
      </c>
      <c r="Y11" s="29">
        <f>'Activity &amp; Emissions'!AH27/310</f>
        <v>7.1051494214876025E-6</v>
      </c>
      <c r="Z11" s="29"/>
      <c r="AA11" s="29">
        <f t="shared" si="1"/>
        <v>1.0588302233181817</v>
      </c>
      <c r="AB11" s="29">
        <f t="shared" si="2"/>
        <v>1.2334781712223635</v>
      </c>
      <c r="AC11" s="29">
        <f t="shared" si="3"/>
        <v>0.78847590763718189</v>
      </c>
      <c r="AD11" s="29">
        <f t="shared" si="4"/>
        <v>0.52793381413472729</v>
      </c>
      <c r="AE11" s="29">
        <f t="shared" si="5"/>
        <v>4.0512234910090907E-2</v>
      </c>
      <c r="AF11" s="29">
        <f t="shared" si="6"/>
        <v>0.4604734127368636</v>
      </c>
      <c r="AG11" s="29">
        <f t="shared" si="7"/>
        <v>0.88043459056363615</v>
      </c>
      <c r="AH11" s="29"/>
      <c r="AI11" s="29">
        <f>'Activity &amp; Emissions'!D27*'Factors and Conversions'!$B$25</f>
        <v>340.14883113309054</v>
      </c>
      <c r="AJ11" s="29">
        <f>'Activity &amp; Emissions'!E27*'Factors and Conversions'!$B$25</f>
        <v>396.25442203059225</v>
      </c>
      <c r="AK11" s="29">
        <f>'Activity &amp; Emissions'!F27*'Factors and Conversions'!$B$25</f>
        <v>253.29760376399395</v>
      </c>
      <c r="AL11" s="29">
        <f>'Activity &amp; Emissions'!G27*'Factors and Conversions'!$B$25</f>
        <v>169.59854926581423</v>
      </c>
      <c r="AM11" s="29">
        <f>'Activity &amp; Emissions'!H27*'Factors and Conversions'!$B$25</f>
        <v>13.01454099796282</v>
      </c>
      <c r="AN11" s="29">
        <f>'Activity &amp; Emissions'!I27*'Factors and Conversions'!$B$25</f>
        <v>147.92691940683457</v>
      </c>
      <c r="AO11" s="34">
        <f>'Activity &amp; Emissions'!J27*'Factors and Conversions'!$B$25</f>
        <v>282.83929781570629</v>
      </c>
    </row>
    <row r="12" spans="1:41" x14ac:dyDescent="0.25">
      <c r="A12" s="216"/>
      <c r="B12" s="27" t="s">
        <v>113</v>
      </c>
      <c r="C12" s="29">
        <f>'Activity &amp; Emissions'!L28</f>
        <v>1.7710137372076542</v>
      </c>
      <c r="D12" s="29">
        <f>'Activity &amp; Emissions'!M28</f>
        <v>1.8952218534727143</v>
      </c>
      <c r="E12" s="29">
        <f>'Activity &amp; Emissions'!N28</f>
        <v>3.6913477445783127</v>
      </c>
      <c r="F12" s="29">
        <f>'Activity &amp; Emissions'!O28</f>
        <v>2.7777243866789507</v>
      </c>
      <c r="G12" s="29">
        <f>'Activity &amp; Emissions'!P28</f>
        <v>1.3808282687136779</v>
      </c>
      <c r="H12" s="29">
        <f>'Activity &amp; Emissions'!Q28</f>
        <v>2.0361561817345852</v>
      </c>
      <c r="I12" s="29">
        <f>'Activity &amp; Emissions'!R28</f>
        <v>2.6914840947554923</v>
      </c>
      <c r="J12" s="114"/>
      <c r="K12" s="29">
        <f>'Activity &amp; Emissions'!T28/21</f>
        <v>7.1700961020552817E-5</v>
      </c>
      <c r="L12" s="29">
        <f>'Activity &amp; Emissions'!U28/21</f>
        <v>7.6729629695251593E-5</v>
      </c>
      <c r="M12" s="29">
        <f>'Activity &amp; Emissions'!V28/21</f>
        <v>1.4944727710843373E-4</v>
      </c>
      <c r="N12" s="29">
        <f>'Activity &amp; Emissions'!W28/21</f>
        <v>1.1245847719347981E-4</v>
      </c>
      <c r="O12" s="29">
        <f>'Activity &amp; Emissions'!X28/21</f>
        <v>5.5903978490432319E-5</v>
      </c>
      <c r="P12" s="29">
        <f>'Activity &amp; Emissions'!Y28/21</f>
        <v>8.2435472944720055E-5</v>
      </c>
      <c r="Q12" s="29">
        <f>'Activity &amp; Emissions'!Z28/21</f>
        <v>1.0896696739900777E-4</v>
      </c>
      <c r="R12" s="29"/>
      <c r="S12" s="29">
        <f>'Activity &amp; Emissions'!AB28/310</f>
        <v>1.4340192204110561E-5</v>
      </c>
      <c r="T12" s="29">
        <f>'Activity &amp; Emissions'!AC28/310</f>
        <v>1.5345925939050321E-5</v>
      </c>
      <c r="U12" s="29">
        <f>'Activity &amp; Emissions'!AD28/310</f>
        <v>2.9889455421686743E-5</v>
      </c>
      <c r="V12" s="29">
        <f>'Activity &amp; Emissions'!AE28/310</f>
        <v>2.2491695438695958E-5</v>
      </c>
      <c r="W12" s="29">
        <f>'Activity &amp; Emissions'!AF28/310</f>
        <v>1.1180795698086462E-5</v>
      </c>
      <c r="X12" s="29">
        <f>'Activity &amp; Emissions'!AG28/310</f>
        <v>1.6487094588944011E-5</v>
      </c>
      <c r="Y12" s="29">
        <f>'Activity &amp; Emissions'!AH28/310</f>
        <v>2.1793393479801557E-5</v>
      </c>
      <c r="Z12" s="29"/>
      <c r="AA12" s="29">
        <f t="shared" si="1"/>
        <v>1.7769649169723603</v>
      </c>
      <c r="AB12" s="29">
        <f t="shared" si="2"/>
        <v>1.9015904127374201</v>
      </c>
      <c r="AC12" s="29">
        <f t="shared" si="3"/>
        <v>3.7037518685783124</v>
      </c>
      <c r="AD12" s="29">
        <f t="shared" si="4"/>
        <v>2.7870584402860095</v>
      </c>
      <c r="AE12" s="29">
        <f t="shared" si="5"/>
        <v>1.3854682989283837</v>
      </c>
      <c r="AF12" s="29">
        <f t="shared" si="6"/>
        <v>2.042998325988997</v>
      </c>
      <c r="AG12" s="29">
        <f t="shared" si="7"/>
        <v>2.7005283530496103</v>
      </c>
      <c r="AH12" s="29"/>
      <c r="AI12" s="29">
        <f>'Activity &amp; Emissions'!D28*'Factors and Conversions'!$B$25</f>
        <v>570.84934502386568</v>
      </c>
      <c r="AJ12" s="29">
        <f>'Activity &amp; Emissions'!E28*'Factors and Conversions'!$B$25</f>
        <v>610.88524103467353</v>
      </c>
      <c r="AK12" s="29">
        <f>'Activity &amp; Emissions'!F28*'Factors and Conversions'!$B$25</f>
        <v>1189.8289651723808</v>
      </c>
      <c r="AL12" s="29">
        <f>'Activity &amp; Emissions'!G28*'Factors and Conversions'!$B$25</f>
        <v>895.34152868435751</v>
      </c>
      <c r="AM12" s="29">
        <f>'Activity &amp; Emissions'!H28*'Factors and Conversions'!$B$25</f>
        <v>445.08119628053373</v>
      </c>
      <c r="AN12" s="29">
        <f>'Activity &amp; Emissions'!I28*'Factors and Conversions'!$B$25</f>
        <v>656.31248267002979</v>
      </c>
      <c r="AO12" s="34">
        <f>'Activity &amp; Emissions'!J28*'Factors and Conversions'!$B$25</f>
        <v>867.54376905952574</v>
      </c>
    </row>
    <row r="13" spans="1:41" x14ac:dyDescent="0.25">
      <c r="A13" s="215" t="s">
        <v>18</v>
      </c>
      <c r="B13" s="27" t="s">
        <v>114</v>
      </c>
      <c r="C13" s="29">
        <f>'Activity &amp; Emissions'!L29</f>
        <v>1.2496987459132773</v>
      </c>
      <c r="D13" s="29">
        <f>'Activity &amp; Emissions'!M29</f>
        <v>1.1154009144793391</v>
      </c>
      <c r="E13" s="29">
        <f>'Activity &amp; Emissions'!N29</f>
        <v>1.5703140780991736</v>
      </c>
      <c r="F13" s="29">
        <f>'Activity &amp; Emissions'!O29</f>
        <v>1.5081054585123967</v>
      </c>
      <c r="G13" s="29">
        <f>'Activity &amp; Emissions'!P29</f>
        <v>1.192659417371901</v>
      </c>
      <c r="H13" s="29">
        <f>'Activity &amp; Emissions'!Q29</f>
        <v>1.0265761622727272</v>
      </c>
      <c r="I13" s="29">
        <f>'Activity &amp; Emissions'!R29</f>
        <v>0.86049290717355376</v>
      </c>
      <c r="J13" s="114"/>
      <c r="K13" s="29">
        <f>'Activity &amp; Emissions'!T29/21</f>
        <v>5.114728837298542E-5</v>
      </c>
      <c r="L13" s="29">
        <f>'Activity &amp; Emissions'!U29/21</f>
        <v>4.5650787768595051E-5</v>
      </c>
      <c r="M13" s="29">
        <f>'Activity &amp; Emissions'!V29/21</f>
        <v>6.4269334710743799E-5</v>
      </c>
      <c r="N13" s="29">
        <f>'Activity &amp; Emissions'!W29/21</f>
        <v>6.1723279338842983E-5</v>
      </c>
      <c r="O13" s="29">
        <f>'Activity &amp; Emissions'!X29/21</f>
        <v>4.8812800165289258E-5</v>
      </c>
      <c r="P13" s="29">
        <f>'Activity &amp; Emissions'!Y29/21</f>
        <v>4.2015395454545456E-5</v>
      </c>
      <c r="Q13" s="29">
        <f>'Activity &amp; Emissions'!Z29/21</f>
        <v>3.5217990743801654E-5</v>
      </c>
      <c r="R13" s="29"/>
      <c r="S13" s="29">
        <f>'Activity &amp; Emissions'!AB29/310</f>
        <v>1.0229457674597087E-5</v>
      </c>
      <c r="T13" s="29">
        <f>'Activity &amp; Emissions'!AC29/310</f>
        <v>9.1301575537190089E-6</v>
      </c>
      <c r="U13" s="29">
        <f>'Activity &amp; Emissions'!AD29/310</f>
        <v>1.2853866942148758E-5</v>
      </c>
      <c r="V13" s="29">
        <f>'Activity &amp; Emissions'!AE29/310</f>
        <v>1.2344655867768598E-5</v>
      </c>
      <c r="W13" s="29">
        <f>'Activity &amp; Emissions'!AF29/310</f>
        <v>9.762560033057852E-6</v>
      </c>
      <c r="X13" s="29">
        <f>'Activity &amp; Emissions'!AG29/310</f>
        <v>8.4030790909090902E-6</v>
      </c>
      <c r="Y13" s="29">
        <f>'Activity &amp; Emissions'!AH29/310</f>
        <v>7.0435981487603309E-6</v>
      </c>
      <c r="Z13" s="29"/>
      <c r="AA13" s="29">
        <f t="shared" si="1"/>
        <v>1.2539439708482349</v>
      </c>
      <c r="AB13" s="29">
        <f t="shared" si="2"/>
        <v>1.1191899298641323</v>
      </c>
      <c r="AC13" s="29">
        <f t="shared" si="3"/>
        <v>1.5756484328801654</v>
      </c>
      <c r="AD13" s="29">
        <f t="shared" si="4"/>
        <v>1.5132284906975206</v>
      </c>
      <c r="AE13" s="29">
        <f t="shared" si="5"/>
        <v>1.1967108797856199</v>
      </c>
      <c r="AF13" s="29">
        <f t="shared" si="6"/>
        <v>1.0300634400954545</v>
      </c>
      <c r="AG13" s="29">
        <f t="shared" si="7"/>
        <v>0.86341600040528932</v>
      </c>
      <c r="AH13" s="29"/>
      <c r="AI13" s="29">
        <f>'Activity &amp; Emissions'!D29*'Factors and Conversions'!$B$25</f>
        <v>407.21066568544586</v>
      </c>
      <c r="AJ13" s="29">
        <f>'Activity &amp; Emissions'!E29*'Factors and Conversions'!$B$25</f>
        <v>363.45011177822374</v>
      </c>
      <c r="AK13" s="29">
        <f>'Activity &amp; Emissions'!F29*'Factors and Conversions'!$B$25</f>
        <v>511.68222995269463</v>
      </c>
      <c r="AL13" s="29">
        <f>'Activity &amp; Emissions'!G29*'Factors and Conversions'!$B$25</f>
        <v>491.41173398225067</v>
      </c>
      <c r="AM13" s="29">
        <f>'Activity &amp; Emissions'!H29*'Factors and Conversions'!$B$25</f>
        <v>388.6245680186754</v>
      </c>
      <c r="AN13" s="29">
        <f>'Activity &amp; Emissions'!I29*'Factors and Conversions'!$B$25</f>
        <v>334.50682717168775</v>
      </c>
      <c r="AO13" s="34">
        <f>'Activity &amp; Emissions'!J29*'Factors and Conversions'!$B$25</f>
        <v>280.38908632470014</v>
      </c>
    </row>
    <row r="14" spans="1:41" x14ac:dyDescent="0.25">
      <c r="A14" s="115"/>
      <c r="B14" s="27" t="s">
        <v>51</v>
      </c>
      <c r="C14" s="29">
        <f>'Activity &amp; Emissions'!L30</f>
        <v>0.27093293231404958</v>
      </c>
      <c r="D14" s="29">
        <f>'Activity &amp; Emissions'!M30</f>
        <v>0.27938057727272725</v>
      </c>
      <c r="E14" s="29">
        <f>'Activity &amp; Emissions'!N30</f>
        <v>0.28215271093884298</v>
      </c>
      <c r="F14" s="29">
        <f>'Activity &amp; Emissions'!O30</f>
        <v>0.54619354468760328</v>
      </c>
      <c r="G14" s="29">
        <f>'Activity &amp; Emissions'!P30</f>
        <v>0.56143922652892564</v>
      </c>
      <c r="H14" s="29">
        <f>'Activity &amp; Emissions'!Q30</f>
        <v>0.28912512533057855</v>
      </c>
      <c r="I14" s="29">
        <f>'Activity &amp; Emissions'!R30</f>
        <v>1.6811024132231404E-2</v>
      </c>
      <c r="J14" s="114"/>
      <c r="K14" s="29">
        <f>'Activity &amp; Emissions'!T30/21</f>
        <v>1.0968944628099172E-5</v>
      </c>
      <c r="L14" s="29">
        <f>'Activity &amp; Emissions'!U30/21</f>
        <v>1.1310954545454545E-5</v>
      </c>
      <c r="M14" s="29">
        <f>'Activity &amp; Emissions'!V30/21</f>
        <v>1.1423186677685951E-5</v>
      </c>
      <c r="N14" s="29">
        <f>'Activity &amp; Emissions'!W30/21</f>
        <v>2.2113098975206611E-5</v>
      </c>
      <c r="O14" s="29">
        <f>'Activity &amp; Emissions'!X30/21</f>
        <v>2.2730333057851241E-5</v>
      </c>
      <c r="P14" s="29">
        <f>'Activity &amp; Emissions'!Y30/21</f>
        <v>1.1705470661157025E-5</v>
      </c>
      <c r="Q14" s="29">
        <f>'Activity &amp; Emissions'!Z30/21</f>
        <v>6.8060826446280992E-7</v>
      </c>
      <c r="R14" s="29"/>
      <c r="S14" s="29">
        <f>'Activity &amp; Emissions'!AB30/310</f>
        <v>2.1937889256198346E-6</v>
      </c>
      <c r="T14" s="29">
        <f>'Activity &amp; Emissions'!AC30/310</f>
        <v>2.2621909090909087E-6</v>
      </c>
      <c r="U14" s="29">
        <f>'Activity &amp; Emissions'!AD30/310</f>
        <v>2.2846373355371901E-6</v>
      </c>
      <c r="V14" s="29">
        <f>'Activity &amp; Emissions'!AE30/310</f>
        <v>4.4226197950413222E-6</v>
      </c>
      <c r="W14" s="29">
        <f>'Activity &amp; Emissions'!AF30/310</f>
        <v>4.5460666115702477E-6</v>
      </c>
      <c r="X14" s="29">
        <f>'Activity &amp; Emissions'!AG30/310</f>
        <v>2.3410941322314054E-6</v>
      </c>
      <c r="Y14" s="29">
        <f>'Activity &amp; Emissions'!AH30/310</f>
        <v>1.3612165289256196E-7</v>
      </c>
      <c r="Z14" s="29"/>
      <c r="AA14" s="29">
        <f t="shared" si="1"/>
        <v>0.27184335471818177</v>
      </c>
      <c r="AB14" s="29">
        <f t="shared" si="2"/>
        <v>0.28031938649999999</v>
      </c>
      <c r="AC14" s="29">
        <f t="shared" si="3"/>
        <v>0.28310083543309089</v>
      </c>
      <c r="AD14" s="29">
        <f t="shared" si="4"/>
        <v>0.54802893190254542</v>
      </c>
      <c r="AE14" s="29">
        <f t="shared" si="5"/>
        <v>0.56332584417272735</v>
      </c>
      <c r="AF14" s="29">
        <f t="shared" si="6"/>
        <v>0.29009667939545458</v>
      </c>
      <c r="AG14" s="29">
        <f t="shared" si="7"/>
        <v>1.6867514618181818E-2</v>
      </c>
      <c r="AH14" s="29"/>
      <c r="AI14" s="29">
        <f>'Activity &amp; Emissions'!D30*'Factors and Conversions'!$B$25</f>
        <v>87.32958062805595</v>
      </c>
      <c r="AJ14" s="29">
        <f>'Activity &amp; Emissions'!E30*'Factors and Conversions'!$B$25</f>
        <v>90.052502811177277</v>
      </c>
      <c r="AK14" s="29">
        <f>'Activity &amp; Emissions'!F30*'Factors and Conversions'!$B$25</f>
        <v>90.946042287678367</v>
      </c>
      <c r="AL14" s="29">
        <f>'Activity &amp; Emissions'!G30*'Factors and Conversions'!$B$25</f>
        <v>176.0540986727668</v>
      </c>
      <c r="AM14" s="29">
        <f>'Activity &amp; Emissions'!H30*'Factors and Conversions'!$B$25</f>
        <v>180.96822627704108</v>
      </c>
      <c r="AN14" s="29">
        <f>'Activity &amp; Emissions'!I30*'Factors and Conversions'!$B$25</f>
        <v>93.193454662374421</v>
      </c>
      <c r="AO14" s="34">
        <f>'Activity &amp; Emissions'!J30*'Factors and Conversions'!$B$25</f>
        <v>5.4186830477077681</v>
      </c>
    </row>
    <row r="15" spans="1:41" ht="16.5" thickBot="1" x14ac:dyDescent="0.3">
      <c r="A15" s="35"/>
      <c r="B15" s="43"/>
      <c r="C15" s="45">
        <f>'Activity &amp; Emissions'!L31</f>
        <v>635.55297818623524</v>
      </c>
      <c r="D15" s="45">
        <f>'Activity &amp; Emissions'!M31</f>
        <v>682.14301388059027</v>
      </c>
      <c r="E15" s="45">
        <f>'Activity &amp; Emissions'!N31</f>
        <v>724.8703225034867</v>
      </c>
      <c r="F15" s="45">
        <f>'Activity &amp; Emissions'!O31</f>
        <v>761.53031438040409</v>
      </c>
      <c r="G15" s="45">
        <f>'Activity &amp; Emissions'!P31</f>
        <v>800.3541813474443</v>
      </c>
      <c r="H15" s="45">
        <f>'Activity &amp; Emissions'!Q31</f>
        <v>864.24438542072687</v>
      </c>
      <c r="I15" s="45">
        <f>'Activity &amp; Emissions'!R31</f>
        <v>928.13458949401002</v>
      </c>
      <c r="J15" s="116"/>
      <c r="K15" s="45">
        <f>'Activity &amp; Emissions'!T31/21</f>
        <v>7.0956663105289841E-3</v>
      </c>
      <c r="L15" s="45">
        <f>'Activity &amp; Emissions'!U31/21</f>
        <v>7.6167586076743305E-3</v>
      </c>
      <c r="M15" s="45">
        <f>'Activity &amp; Emissions'!V31/21</f>
        <v>8.0958847736695271E-3</v>
      </c>
      <c r="N15" s="45">
        <f>'Activity &amp; Emissions'!W31/21</f>
        <v>8.5197818367210455E-3</v>
      </c>
      <c r="O15" s="45">
        <f>'Activity &amp; Emissions'!X31/21</f>
        <v>8.8780392949020133E-3</v>
      </c>
      <c r="P15" s="45">
        <f>'Activity &amp; Emissions'!Y31/21</f>
        <v>9.4986158185456811E-3</v>
      </c>
      <c r="Q15" s="45">
        <f>'Activity &amp; Emissions'!Z31/21</f>
        <v>1.0119192342189345E-2</v>
      </c>
      <c r="R15" s="45"/>
      <c r="S15" s="45">
        <f>'Activity &amp; Emissions'!AB31/310</f>
        <v>8.8387268118657915E-3</v>
      </c>
      <c r="T15" s="45">
        <f>'Activity &amp; Emissions'!AC31/310</f>
        <v>9.4810386383348631E-3</v>
      </c>
      <c r="U15" s="45">
        <f>'Activity &amp; Emissions'!AD31/310</f>
        <v>1.0133876727533903E-2</v>
      </c>
      <c r="V15" s="45">
        <f>'Activity &amp; Emissions'!AE31/310</f>
        <v>1.0471490293264208E-2</v>
      </c>
      <c r="W15" s="45">
        <f>'Activity &amp; Emissions'!AF31/310</f>
        <v>1.0991374097060403E-2</v>
      </c>
      <c r="X15" s="45">
        <f>'Activity &amp; Emissions'!AG31/310</f>
        <v>1.2017412102749135E-2</v>
      </c>
      <c r="Y15" s="45">
        <f>'Activity &amp; Emissions'!AH31/310</f>
        <v>1.3043450108437866E-2</v>
      </c>
      <c r="Z15" s="45"/>
      <c r="AA15" s="45">
        <f t="shared" si="1"/>
        <v>638.4419924904347</v>
      </c>
      <c r="AB15" s="45">
        <f t="shared" si="2"/>
        <v>685.24208778923526</v>
      </c>
      <c r="AC15" s="45">
        <f t="shared" si="3"/>
        <v>728.18183786926932</v>
      </c>
      <c r="AD15" s="45">
        <f t="shared" si="4"/>
        <v>764.95539178988713</v>
      </c>
      <c r="AE15" s="45">
        <f t="shared" si="5"/>
        <v>803.94794614272598</v>
      </c>
      <c r="AF15" s="45">
        <f t="shared" si="6"/>
        <v>868.16925410476858</v>
      </c>
      <c r="AG15" s="45">
        <f t="shared" si="7"/>
        <v>932.39056206681175</v>
      </c>
      <c r="AH15" s="45"/>
      <c r="AI15" s="45"/>
      <c r="AJ15" s="45"/>
      <c r="AK15" s="45"/>
      <c r="AL15" s="45"/>
      <c r="AM15" s="45"/>
      <c r="AN15" s="45"/>
      <c r="AO15" s="53"/>
    </row>
    <row r="16" spans="1:41" ht="16.5" thickBot="1" x14ac:dyDescent="0.3"/>
    <row r="17" spans="1:40" x14ac:dyDescent="0.25">
      <c r="A17" s="39"/>
      <c r="B17" s="40"/>
      <c r="C17" s="217" t="s">
        <v>117</v>
      </c>
      <c r="D17" s="40"/>
      <c r="E17" s="40"/>
      <c r="F17" s="40"/>
      <c r="G17" s="40"/>
      <c r="H17" s="40"/>
      <c r="I17" s="40"/>
      <c r="J17" s="40"/>
      <c r="K17" s="217" t="s">
        <v>142</v>
      </c>
      <c r="L17" s="40"/>
      <c r="M17" s="40"/>
      <c r="N17" s="40"/>
      <c r="O17" s="40"/>
      <c r="P17" s="40"/>
      <c r="Q17" s="40"/>
      <c r="R17" s="40"/>
      <c r="S17" s="217" t="s">
        <v>143</v>
      </c>
      <c r="T17" s="40"/>
      <c r="U17" s="40"/>
      <c r="V17" s="40"/>
      <c r="W17" s="40"/>
      <c r="X17" s="40"/>
      <c r="Y17" s="40"/>
      <c r="Z17" s="40"/>
      <c r="AA17" s="217" t="s">
        <v>145</v>
      </c>
      <c r="AB17" s="40"/>
      <c r="AC17" s="40"/>
      <c r="AD17" s="40"/>
      <c r="AE17" s="40"/>
      <c r="AF17" s="40"/>
      <c r="AG17" s="40"/>
      <c r="AH17" s="40"/>
      <c r="AI17" s="217" t="s">
        <v>174</v>
      </c>
      <c r="AJ17" s="40"/>
      <c r="AK17" s="40"/>
      <c r="AL17" s="40"/>
      <c r="AM17" s="40"/>
      <c r="AN17" s="41"/>
    </row>
    <row r="18" spans="1:40" s="113" customFormat="1" x14ac:dyDescent="0.25">
      <c r="A18" s="117" t="s">
        <v>144</v>
      </c>
      <c r="B18" s="118"/>
      <c r="C18" s="118">
        <v>2007</v>
      </c>
      <c r="D18" s="118">
        <v>2008</v>
      </c>
      <c r="E18" s="118">
        <v>2009</v>
      </c>
      <c r="F18" s="118">
        <v>2010</v>
      </c>
      <c r="G18" s="118">
        <v>2011</v>
      </c>
      <c r="H18" s="118">
        <v>2012</v>
      </c>
      <c r="I18" s="118"/>
      <c r="J18" s="118"/>
      <c r="K18" s="118">
        <v>2007</v>
      </c>
      <c r="L18" s="118">
        <v>2008</v>
      </c>
      <c r="M18" s="118">
        <v>2009</v>
      </c>
      <c r="N18" s="118">
        <v>2010</v>
      </c>
      <c r="O18" s="118">
        <v>2011</v>
      </c>
      <c r="P18" s="118">
        <v>2012</v>
      </c>
      <c r="Q18" s="118"/>
      <c r="R18" s="118"/>
      <c r="S18" s="118">
        <v>2007</v>
      </c>
      <c r="T18" s="118">
        <v>2008</v>
      </c>
      <c r="U18" s="118">
        <v>2009</v>
      </c>
      <c r="V18" s="118">
        <v>2010</v>
      </c>
      <c r="W18" s="118">
        <v>2011</v>
      </c>
      <c r="X18" s="118">
        <v>2012</v>
      </c>
      <c r="Y18" s="118"/>
      <c r="Z18" s="118"/>
      <c r="AA18" s="118">
        <v>2007</v>
      </c>
      <c r="AB18" s="118">
        <v>2008</v>
      </c>
      <c r="AC18" s="118">
        <v>2009</v>
      </c>
      <c r="AD18" s="118">
        <v>2010</v>
      </c>
      <c r="AE18" s="118">
        <v>2011</v>
      </c>
      <c r="AF18" s="118">
        <v>2012</v>
      </c>
      <c r="AG18" s="118"/>
      <c r="AH18" s="118"/>
      <c r="AI18" s="118">
        <v>2007</v>
      </c>
      <c r="AJ18" s="118">
        <v>2008</v>
      </c>
      <c r="AK18" s="118">
        <v>2009</v>
      </c>
      <c r="AL18" s="118">
        <v>2010</v>
      </c>
      <c r="AM18" s="118">
        <v>2011</v>
      </c>
      <c r="AN18" s="119">
        <v>2012</v>
      </c>
    </row>
    <row r="19" spans="1:40" x14ac:dyDescent="0.25">
      <c r="A19" s="215" t="s">
        <v>12</v>
      </c>
      <c r="B19" s="27" t="s">
        <v>106</v>
      </c>
      <c r="C19" s="29">
        <f>C4*1/4+D4*3/4</f>
        <v>605.15397802860002</v>
      </c>
      <c r="D19" s="29">
        <f t="shared" ref="D19:H19" si="8">D4*1/4+E4*3/4</f>
        <v>649.06009378210001</v>
      </c>
      <c r="E19" s="29">
        <f t="shared" si="8"/>
        <v>676.04227796104999</v>
      </c>
      <c r="F19" s="29">
        <f t="shared" si="8"/>
        <v>707.14142454669991</v>
      </c>
      <c r="G19" s="29">
        <f>G4*1/4+H4*3/4</f>
        <v>767.95689605992493</v>
      </c>
      <c r="H19" s="29">
        <f t="shared" si="8"/>
        <v>837.55406091142493</v>
      </c>
      <c r="I19" s="29"/>
      <c r="J19" s="29"/>
      <c r="K19" s="29">
        <f>K4*1/4+L4*3/4</f>
        <v>6.3161880600000001E-3</v>
      </c>
      <c r="L19" s="29">
        <f t="shared" ref="L19:P19" si="9">L4*1/4+M4*3/4</f>
        <v>6.7744504099999997E-3</v>
      </c>
      <c r="M19" s="29">
        <f t="shared" si="9"/>
        <v>7.0560722049999997E-3</v>
      </c>
      <c r="N19" s="29">
        <f t="shared" si="9"/>
        <v>7.3806640699999992E-3</v>
      </c>
      <c r="O19" s="29">
        <f t="shared" si="9"/>
        <v>8.0154148425000005E-3</v>
      </c>
      <c r="P19" s="29">
        <f t="shared" si="9"/>
        <v>8.7418229924999986E-3</v>
      </c>
      <c r="Q19" s="29"/>
      <c r="R19" s="29"/>
      <c r="S19" s="29">
        <f>S4*1/4+T4*3/4</f>
        <v>8.8426632839999977E-3</v>
      </c>
      <c r="T19" s="29">
        <f t="shared" ref="T19:X19" si="10">T4*1/4+U4*3/4</f>
        <v>9.4842305740000001E-3</v>
      </c>
      <c r="U19" s="29">
        <f t="shared" si="10"/>
        <v>9.8785010869999971E-3</v>
      </c>
      <c r="V19" s="29">
        <f t="shared" si="10"/>
        <v>1.0332929697999999E-2</v>
      </c>
      <c r="W19" s="29">
        <f t="shared" si="10"/>
        <v>1.1221580779499999E-2</v>
      </c>
      <c r="X19" s="29">
        <f t="shared" si="10"/>
        <v>1.2238552189499997E-2</v>
      </c>
      <c r="Y19" s="29"/>
      <c r="Z19" s="29"/>
      <c r="AA19" s="29">
        <f t="shared" ref="AA19" si="11">C19+K19*21+S19*310</f>
        <v>608.02784359589998</v>
      </c>
      <c r="AB19" s="29">
        <f t="shared" ref="AB19" si="12">D19+L19*21+T19*310</f>
        <v>652.14246871865009</v>
      </c>
      <c r="AC19" s="29">
        <f t="shared" ref="AC19" si="13">E19+M19*21+U19*310</f>
        <v>679.25279081432507</v>
      </c>
      <c r="AD19" s="29">
        <f t="shared" ref="AD19" si="14">F19+N19*21+V19*310</f>
        <v>710.49962669854995</v>
      </c>
      <c r="AE19" s="29">
        <f t="shared" ref="AE19" si="15">G19+O19*21+W19*310</f>
        <v>771.60390981326248</v>
      </c>
      <c r="AF19" s="29">
        <f t="shared" ref="AF19" si="16">H19+P19*21+X19*310</f>
        <v>841.53159037301248</v>
      </c>
      <c r="AG19" s="29"/>
      <c r="AH19" s="29"/>
      <c r="AI19" s="29">
        <f>AI4*1/4+AJ4*3/4</f>
        <v>150859.56028113898</v>
      </c>
      <c r="AJ19" s="29">
        <f t="shared" ref="AJ19:AN19" si="17">AJ4*1/4+AK4*3/4</f>
        <v>161804.96848584677</v>
      </c>
      <c r="AK19" s="29">
        <f t="shared" si="17"/>
        <v>168531.38950999928</v>
      </c>
      <c r="AL19" s="29">
        <f t="shared" si="17"/>
        <v>176284.13302548206</v>
      </c>
      <c r="AM19" s="29">
        <f t="shared" si="17"/>
        <v>191444.8947884026</v>
      </c>
      <c r="AN19" s="34">
        <f t="shared" si="17"/>
        <v>208794.85540588869</v>
      </c>
    </row>
    <row r="20" spans="1:40" x14ac:dyDescent="0.25">
      <c r="A20" s="216"/>
      <c r="B20" s="27" t="s">
        <v>107</v>
      </c>
      <c r="C20" s="29">
        <f t="shared" ref="C20:H29" si="18">C5*1/4+D5*3/4</f>
        <v>3.8202907855717578</v>
      </c>
      <c r="D20" s="29">
        <f t="shared" si="18"/>
        <v>4.0376908497122024</v>
      </c>
      <c r="E20" s="29">
        <f t="shared" si="18"/>
        <v>3.2790048302762855</v>
      </c>
      <c r="F20" s="29">
        <f t="shared" si="18"/>
        <v>2.7740805841519571</v>
      </c>
      <c r="G20" s="29">
        <f t="shared" si="18"/>
        <v>2.5414765619435919</v>
      </c>
      <c r="H20" s="29">
        <f t="shared" si="18"/>
        <v>2.3411234394186491</v>
      </c>
      <c r="I20" s="29"/>
      <c r="J20" s="29"/>
      <c r="K20" s="29">
        <f t="shared" ref="K20:P29" si="19">K5*1/4+L5*3/4</f>
        <v>1.4807328626247122E-4</v>
      </c>
      <c r="L20" s="29">
        <f t="shared" si="19"/>
        <v>1.5649964533768229E-4</v>
      </c>
      <c r="M20" s="29">
        <f t="shared" si="19"/>
        <v>1.2709321047582503E-4</v>
      </c>
      <c r="N20" s="29">
        <f t="shared" si="19"/>
        <v>1.0752250326170375E-4</v>
      </c>
      <c r="O20" s="29">
        <f t="shared" si="19"/>
        <v>9.8506843486185705E-5</v>
      </c>
      <c r="P20" s="29">
        <f t="shared" si="19"/>
        <v>9.0741218582118176E-5</v>
      </c>
      <c r="Q20" s="29"/>
      <c r="R20" s="29"/>
      <c r="S20" s="29">
        <f t="shared" ref="S20:X29" si="20">S5*1/4+T5*3/4</f>
        <v>2.9614657252494242E-5</v>
      </c>
      <c r="T20" s="29">
        <f t="shared" si="20"/>
        <v>3.1299929067536459E-5</v>
      </c>
      <c r="U20" s="29">
        <f t="shared" si="20"/>
        <v>2.5418642095165008E-5</v>
      </c>
      <c r="V20" s="29">
        <f t="shared" si="20"/>
        <v>2.1504500652340755E-5</v>
      </c>
      <c r="W20" s="29">
        <f t="shared" si="20"/>
        <v>1.9701368697237146E-5</v>
      </c>
      <c r="X20" s="29">
        <f t="shared" si="20"/>
        <v>1.8148243716423639E-5</v>
      </c>
      <c r="Y20" s="29"/>
      <c r="Z20" s="29"/>
      <c r="AA20" s="29">
        <f t="shared" ref="AA20:AA29" si="21">C20+K20*21+S20*310</f>
        <v>3.8325808683315428</v>
      </c>
      <c r="AB20" s="29">
        <f t="shared" ref="AB20:AB29" si="22">D20+L20*21+T20*310</f>
        <v>4.0506803202752302</v>
      </c>
      <c r="AC20" s="29">
        <f t="shared" ref="AC20:AC29" si="23">E20+M20*21+U20*310</f>
        <v>3.2895535667457794</v>
      </c>
      <c r="AD20" s="29">
        <f t="shared" ref="AD20:AD29" si="24">F20+N20*21+V20*310</f>
        <v>2.7830049519226785</v>
      </c>
      <c r="AE20" s="29">
        <f t="shared" ref="AE20:AE29" si="25">G20+O20*21+W20*310</f>
        <v>2.5496526299529454</v>
      </c>
      <c r="AF20" s="29">
        <f t="shared" ref="AF20:AF29" si="26">H20+P20*21+X20*310</f>
        <v>2.3486549605609652</v>
      </c>
      <c r="AG20" s="29"/>
      <c r="AH20" s="29"/>
      <c r="AI20" s="29">
        <f t="shared" ref="AI20:AN20" si="27">AI5*1/4+AJ5*3/4</f>
        <v>1178.8898959699238</v>
      </c>
      <c r="AJ20" s="29">
        <f t="shared" si="27"/>
        <v>1245.9766056953531</v>
      </c>
      <c r="AK20" s="29">
        <f t="shared" si="27"/>
        <v>1011.8563952902741</v>
      </c>
      <c r="AL20" s="29">
        <f t="shared" si="27"/>
        <v>856.04362464090207</v>
      </c>
      <c r="AM20" s="29">
        <f t="shared" si="27"/>
        <v>784.26517976988782</v>
      </c>
      <c r="AN20" s="34">
        <f t="shared" si="27"/>
        <v>722.43892490396956</v>
      </c>
    </row>
    <row r="21" spans="1:40" x14ac:dyDescent="0.25">
      <c r="A21" s="216"/>
      <c r="B21" s="27" t="s">
        <v>108</v>
      </c>
      <c r="C21" s="29">
        <f t="shared" si="18"/>
        <v>0.68751334062226099</v>
      </c>
      <c r="D21" s="29">
        <f t="shared" si="18"/>
        <v>0.70064391257668701</v>
      </c>
      <c r="E21" s="29">
        <f t="shared" si="18"/>
        <v>0.71404815446976344</v>
      </c>
      <c r="F21" s="29">
        <f t="shared" si="18"/>
        <v>0.8619932855390009</v>
      </c>
      <c r="G21" s="29">
        <f t="shared" si="18"/>
        <v>0.80966438183610878</v>
      </c>
      <c r="H21" s="29">
        <f t="shared" si="18"/>
        <v>0.6748260860429447</v>
      </c>
      <c r="I21" s="29"/>
      <c r="J21" s="29"/>
      <c r="K21" s="29">
        <f t="shared" si="19"/>
        <v>2.7834548203330412E-5</v>
      </c>
      <c r="L21" s="29">
        <f t="shared" si="19"/>
        <v>2.8366150306748465E-5</v>
      </c>
      <c r="M21" s="29">
        <f t="shared" si="19"/>
        <v>2.890883216476775E-5</v>
      </c>
      <c r="N21" s="29">
        <f t="shared" si="19"/>
        <v>3.489851358457493E-5</v>
      </c>
      <c r="O21" s="29">
        <f t="shared" si="19"/>
        <v>3.2779934487291848E-5</v>
      </c>
      <c r="P21" s="29">
        <f t="shared" si="19"/>
        <v>2.7320894171779137E-5</v>
      </c>
      <c r="Q21" s="29"/>
      <c r="R21" s="29"/>
      <c r="S21" s="29">
        <f t="shared" si="20"/>
        <v>5.5669096406660816E-6</v>
      </c>
      <c r="T21" s="29">
        <f t="shared" si="20"/>
        <v>5.6732300613496932E-6</v>
      </c>
      <c r="U21" s="29">
        <f t="shared" si="20"/>
        <v>5.7817664329535487E-6</v>
      </c>
      <c r="V21" s="29">
        <f t="shared" si="20"/>
        <v>6.9797027169149866E-6</v>
      </c>
      <c r="W21" s="29">
        <f t="shared" si="20"/>
        <v>6.55598689745837E-6</v>
      </c>
      <c r="X21" s="29">
        <f t="shared" si="20"/>
        <v>5.4641788343558286E-6</v>
      </c>
      <c r="Y21" s="29"/>
      <c r="Z21" s="29"/>
      <c r="AA21" s="29">
        <f t="shared" si="21"/>
        <v>0.68982360812313748</v>
      </c>
      <c r="AB21" s="29">
        <f t="shared" si="22"/>
        <v>0.70299830305214717</v>
      </c>
      <c r="AC21" s="29">
        <f t="shared" si="23"/>
        <v>0.71644758753943916</v>
      </c>
      <c r="AD21" s="29">
        <f t="shared" si="24"/>
        <v>0.86488986216652064</v>
      </c>
      <c r="AE21" s="29">
        <f t="shared" si="25"/>
        <v>0.81238511639855393</v>
      </c>
      <c r="AF21" s="29">
        <f t="shared" si="26"/>
        <v>0.67709372025920234</v>
      </c>
      <c r="AG21" s="29"/>
      <c r="AH21" s="29"/>
      <c r="AI21" s="29">
        <f t="shared" ref="AI21:AN21" si="28">AI6*1/4+AJ6*3/4</f>
        <v>221.60558777380635</v>
      </c>
      <c r="AJ21" s="29">
        <f t="shared" si="28"/>
        <v>225.83795381507207</v>
      </c>
      <c r="AK21" s="29">
        <f t="shared" si="28"/>
        <v>230.15853165388017</v>
      </c>
      <c r="AL21" s="29">
        <f t="shared" si="28"/>
        <v>277.84555936914956</v>
      </c>
      <c r="AM21" s="29">
        <f t="shared" si="28"/>
        <v>260.97842854061525</v>
      </c>
      <c r="AN21" s="34">
        <f t="shared" si="28"/>
        <v>217.51611584335535</v>
      </c>
    </row>
    <row r="22" spans="1:40" x14ac:dyDescent="0.25">
      <c r="A22" s="216"/>
      <c r="B22" s="27" t="s">
        <v>109</v>
      </c>
      <c r="C22" s="29">
        <f t="shared" si="18"/>
        <v>1.2006240232252496</v>
      </c>
      <c r="D22" s="29">
        <f t="shared" si="18"/>
        <v>1.1113606347467384</v>
      </c>
      <c r="E22" s="29">
        <f t="shared" si="18"/>
        <v>0.55458281090272443</v>
      </c>
      <c r="F22" s="29">
        <f t="shared" si="18"/>
        <v>0.104179724007099</v>
      </c>
      <c r="G22" s="29">
        <f t="shared" si="18"/>
        <v>5.5298284010456639E-2</v>
      </c>
      <c r="H22" s="29">
        <f t="shared" si="18"/>
        <v>0.11131846297246739</v>
      </c>
      <c r="I22" s="29"/>
      <c r="J22" s="29"/>
      <c r="K22" s="29">
        <f t="shared" si="19"/>
        <v>4.9138773119723734E-5</v>
      </c>
      <c r="L22" s="29">
        <f t="shared" si="19"/>
        <v>4.5485428434382199E-5</v>
      </c>
      <c r="M22" s="29">
        <f t="shared" si="19"/>
        <v>2.2697795807751345E-5</v>
      </c>
      <c r="N22" s="29">
        <f t="shared" si="19"/>
        <v>4.2638359075211053E-6</v>
      </c>
      <c r="O22" s="29">
        <f t="shared" si="19"/>
        <v>2.263231269186493E-6</v>
      </c>
      <c r="P22" s="29">
        <f t="shared" si="19"/>
        <v>4.5560080343438219E-6</v>
      </c>
      <c r="Q22" s="29"/>
      <c r="R22" s="29"/>
      <c r="S22" s="29">
        <f t="shared" si="20"/>
        <v>9.8277546239447454E-6</v>
      </c>
      <c r="T22" s="29">
        <f t="shared" si="20"/>
        <v>9.0970856868764407E-6</v>
      </c>
      <c r="U22" s="29">
        <f t="shared" si="20"/>
        <v>4.5395591615502683E-6</v>
      </c>
      <c r="V22" s="29">
        <f t="shared" si="20"/>
        <v>8.52767181504221E-7</v>
      </c>
      <c r="W22" s="29">
        <f t="shared" si="20"/>
        <v>4.5264625383729851E-7</v>
      </c>
      <c r="X22" s="29">
        <f t="shared" si="20"/>
        <v>9.1120160686876438E-7</v>
      </c>
      <c r="Y22" s="29"/>
      <c r="Z22" s="29"/>
      <c r="AA22" s="29">
        <f t="shared" si="21"/>
        <v>1.2047025413941868</v>
      </c>
      <c r="AB22" s="29">
        <f t="shared" si="22"/>
        <v>1.1151359253067921</v>
      </c>
      <c r="AC22" s="29">
        <f t="shared" si="23"/>
        <v>0.55646672795476781</v>
      </c>
      <c r="AD22" s="29">
        <f t="shared" si="24"/>
        <v>0.10453362238742325</v>
      </c>
      <c r="AE22" s="29">
        <f t="shared" si="25"/>
        <v>5.5486132205799114E-2</v>
      </c>
      <c r="AF22" s="29">
        <f t="shared" si="26"/>
        <v>0.11169661163931793</v>
      </c>
      <c r="AG22" s="29"/>
      <c r="AH22" s="29"/>
      <c r="AI22" s="29">
        <f t="shared" ref="AI22:AN22" si="29">AI7*1/4+AJ7*3/4</f>
        <v>391.21981144199668</v>
      </c>
      <c r="AJ22" s="29">
        <f t="shared" si="29"/>
        <v>362.13359849464416</v>
      </c>
      <c r="AK22" s="29">
        <f t="shared" si="29"/>
        <v>180.70917998750701</v>
      </c>
      <c r="AL22" s="29">
        <f t="shared" si="29"/>
        <v>33.946657066422915</v>
      </c>
      <c r="AM22" s="29">
        <f t="shared" si="29"/>
        <v>18.01878342024321</v>
      </c>
      <c r="AN22" s="34">
        <f t="shared" si="29"/>
        <v>36.272794190068566</v>
      </c>
    </row>
    <row r="23" spans="1:40" x14ac:dyDescent="0.25">
      <c r="A23" s="66"/>
      <c r="B23" s="27" t="s">
        <v>8</v>
      </c>
      <c r="C23" s="29">
        <f t="shared" si="18"/>
        <v>0.47745363600000001</v>
      </c>
      <c r="D23" s="29">
        <f t="shared" si="18"/>
        <v>0.26782992719999998</v>
      </c>
      <c r="E23" s="29">
        <f t="shared" si="18"/>
        <v>0.63248284440000002</v>
      </c>
      <c r="F23" s="29">
        <f t="shared" si="18"/>
        <v>1.4315126760000001</v>
      </c>
      <c r="G23" s="29">
        <f t="shared" si="18"/>
        <v>1.2177363329999999</v>
      </c>
      <c r="H23" s="29">
        <f t="shared" si="18"/>
        <v>0.64752112260000017</v>
      </c>
      <c r="I23" s="29"/>
      <c r="J23" s="29"/>
      <c r="K23" s="29">
        <f t="shared" si="19"/>
        <v>8.5107599999999988E-6</v>
      </c>
      <c r="L23" s="29">
        <f t="shared" si="19"/>
        <v>4.7741519999999995E-6</v>
      </c>
      <c r="M23" s="29">
        <f t="shared" si="19"/>
        <v>1.1274204000000001E-5</v>
      </c>
      <c r="N23" s="29">
        <f t="shared" si="19"/>
        <v>2.5517160000000001E-5</v>
      </c>
      <c r="O23" s="29">
        <f t="shared" si="19"/>
        <v>2.1706529999999998E-5</v>
      </c>
      <c r="P23" s="29">
        <f t="shared" si="19"/>
        <v>1.1542266E-5</v>
      </c>
      <c r="Q23" s="29"/>
      <c r="R23" s="29"/>
      <c r="S23" s="29">
        <f t="shared" si="20"/>
        <v>8.5107599999999975E-7</v>
      </c>
      <c r="T23" s="29">
        <f t="shared" si="20"/>
        <v>4.7741519999999995E-7</v>
      </c>
      <c r="U23" s="29">
        <f t="shared" si="20"/>
        <v>1.1274203999999999E-6</v>
      </c>
      <c r="V23" s="29">
        <f t="shared" si="20"/>
        <v>2.5517160000000001E-6</v>
      </c>
      <c r="W23" s="29">
        <f t="shared" si="20"/>
        <v>2.1706530000000004E-6</v>
      </c>
      <c r="X23" s="29">
        <f t="shared" si="20"/>
        <v>1.1542266000000002E-6</v>
      </c>
      <c r="Y23" s="29"/>
      <c r="Z23" s="29"/>
      <c r="AA23" s="29">
        <f t="shared" si="21"/>
        <v>0.47789619552000001</v>
      </c>
      <c r="AB23" s="29">
        <f t="shared" si="22"/>
        <v>0.268078183104</v>
      </c>
      <c r="AC23" s="29">
        <f t="shared" si="23"/>
        <v>0.63306910300800012</v>
      </c>
      <c r="AD23" s="29">
        <f t="shared" si="24"/>
        <v>1.4328395683200001</v>
      </c>
      <c r="AE23" s="29">
        <f t="shared" si="25"/>
        <v>1.2188650725600001</v>
      </c>
      <c r="AF23" s="29">
        <f t="shared" si="26"/>
        <v>0.64812132043200021</v>
      </c>
      <c r="AG23" s="29"/>
      <c r="AH23" s="29"/>
      <c r="AI23" s="29">
        <f t="shared" ref="AI23:AN23" si="30">AI8*1/4+AJ8*3/4</f>
        <v>203.27601063517199</v>
      </c>
      <c r="AJ23" s="29">
        <f t="shared" si="30"/>
        <v>114.0286616854344</v>
      </c>
      <c r="AK23" s="29">
        <f t="shared" si="30"/>
        <v>269.27973673409883</v>
      </c>
      <c r="AL23" s="29">
        <f t="shared" si="30"/>
        <v>609.466896909252</v>
      </c>
      <c r="AM23" s="29">
        <f t="shared" si="30"/>
        <v>518.45156286074098</v>
      </c>
      <c r="AN23" s="34">
        <f t="shared" si="30"/>
        <v>275.6822876182602</v>
      </c>
    </row>
    <row r="24" spans="1:40" x14ac:dyDescent="0.25">
      <c r="A24" s="215"/>
      <c r="B24" s="27" t="s">
        <v>110</v>
      </c>
      <c r="C24" s="29">
        <f t="shared" si="18"/>
        <v>26.136560835000001</v>
      </c>
      <c r="D24" s="29">
        <f t="shared" si="18"/>
        <v>26.07844530225</v>
      </c>
      <c r="E24" s="29">
        <f t="shared" si="18"/>
        <v>27.125296336874996</v>
      </c>
      <c r="F24" s="29">
        <f t="shared" si="18"/>
        <v>29.224141373625002</v>
      </c>
      <c r="G24" s="29">
        <f t="shared" si="18"/>
        <v>30.892005733875003</v>
      </c>
      <c r="H24" s="29">
        <f t="shared" si="18"/>
        <v>32.376266154374996</v>
      </c>
      <c r="I24" s="29"/>
      <c r="J24" s="29"/>
      <c r="K24" s="29">
        <f t="shared" si="19"/>
        <v>2.4622289999999997E-4</v>
      </c>
      <c r="L24" s="29">
        <f t="shared" si="19"/>
        <v>2.4567541499999996E-4</v>
      </c>
      <c r="M24" s="29">
        <f t="shared" si="19"/>
        <v>2.5553741249999999E-4</v>
      </c>
      <c r="N24" s="29">
        <f t="shared" si="19"/>
        <v>2.7530985749999999E-4</v>
      </c>
      <c r="O24" s="29">
        <f t="shared" si="19"/>
        <v>2.9102219249999998E-4</v>
      </c>
      <c r="P24" s="29">
        <f t="shared" si="19"/>
        <v>3.0500486249999996E-4</v>
      </c>
      <c r="Q24" s="29"/>
      <c r="R24" s="29"/>
      <c r="S24" s="29">
        <f t="shared" si="20"/>
        <v>3.4471205999999993E-4</v>
      </c>
      <c r="T24" s="29">
        <f t="shared" si="20"/>
        <v>3.4394558099999997E-4</v>
      </c>
      <c r="U24" s="29">
        <f t="shared" si="20"/>
        <v>3.5775237749999998E-4</v>
      </c>
      <c r="V24" s="29">
        <f t="shared" si="20"/>
        <v>3.8543380050000008E-4</v>
      </c>
      <c r="W24" s="29">
        <f t="shared" si="20"/>
        <v>4.0743106949999998E-4</v>
      </c>
      <c r="X24" s="29">
        <f t="shared" si="20"/>
        <v>4.2700680749999987E-4</v>
      </c>
      <c r="Y24" s="29"/>
      <c r="Z24" s="29"/>
      <c r="AA24" s="29">
        <f t="shared" si="21"/>
        <v>26.2485922545</v>
      </c>
      <c r="AB24" s="29">
        <f t="shared" si="22"/>
        <v>26.190227616074999</v>
      </c>
      <c r="AC24" s="29">
        <f t="shared" si="23"/>
        <v>27.241565859562495</v>
      </c>
      <c r="AD24" s="29">
        <f t="shared" si="24"/>
        <v>29.349407358787506</v>
      </c>
      <c r="AE24" s="29">
        <f t="shared" si="25"/>
        <v>31.024420831462503</v>
      </c>
      <c r="AF24" s="29">
        <f t="shared" si="26"/>
        <v>32.515043366812499</v>
      </c>
      <c r="AG24" s="29"/>
      <c r="AH24" s="29"/>
      <c r="AI24" s="29">
        <f t="shared" ref="AI24:AN24" si="31">AI9*1/4+AJ9*3/4</f>
        <v>5880.9329412441293</v>
      </c>
      <c r="AJ24" s="29">
        <f t="shared" si="31"/>
        <v>5867.8564866522247</v>
      </c>
      <c r="AK24" s="29">
        <f t="shared" si="31"/>
        <v>6103.4062505621514</v>
      </c>
      <c r="AL24" s="29">
        <f t="shared" si="31"/>
        <v>6575.6629867529673</v>
      </c>
      <c r="AM24" s="29">
        <f t="shared" si="31"/>
        <v>6950.9456614569172</v>
      </c>
      <c r="AN24" s="34">
        <f t="shared" si="31"/>
        <v>7284.9159973174155</v>
      </c>
    </row>
    <row r="25" spans="1:40" x14ac:dyDescent="0.25">
      <c r="A25" s="215" t="s">
        <v>16</v>
      </c>
      <c r="B25" s="27" t="s">
        <v>111</v>
      </c>
      <c r="C25" s="29">
        <f t="shared" si="18"/>
        <v>28.54283903856</v>
      </c>
      <c r="D25" s="29">
        <f t="shared" si="18"/>
        <v>27.055355975999998</v>
      </c>
      <c r="E25" s="29">
        <f t="shared" si="18"/>
        <v>38.416569190559997</v>
      </c>
      <c r="F25" s="29">
        <f t="shared" si="18"/>
        <v>45.389857534559994</v>
      </c>
      <c r="G25" s="29">
        <f t="shared" si="18"/>
        <v>41.146839637199996</v>
      </c>
      <c r="H25" s="29">
        <f t="shared" si="18"/>
        <v>34.169519633039997</v>
      </c>
      <c r="I25" s="29"/>
      <c r="J25" s="29"/>
      <c r="K25" s="29">
        <f t="shared" si="19"/>
        <v>5.0878500960000004E-4</v>
      </c>
      <c r="L25" s="29">
        <f t="shared" si="19"/>
        <v>4.8227015999999993E-4</v>
      </c>
      <c r="M25" s="29">
        <f t="shared" si="19"/>
        <v>6.8478732959999992E-4</v>
      </c>
      <c r="N25" s="29">
        <f t="shared" si="19"/>
        <v>8.0908836960000004E-4</v>
      </c>
      <c r="O25" s="29">
        <f t="shared" si="19"/>
        <v>7.3345525200000001E-4</v>
      </c>
      <c r="P25" s="29">
        <f t="shared" si="19"/>
        <v>6.0908234639999999E-4</v>
      </c>
      <c r="Q25" s="29"/>
      <c r="R25" s="29"/>
      <c r="S25" s="29">
        <f t="shared" si="20"/>
        <v>5.0878500960000008E-5</v>
      </c>
      <c r="T25" s="29">
        <f t="shared" si="20"/>
        <v>4.8227016000000001E-5</v>
      </c>
      <c r="U25" s="29">
        <f t="shared" si="20"/>
        <v>6.847873295999999E-5</v>
      </c>
      <c r="V25" s="29">
        <f t="shared" si="20"/>
        <v>8.0908836959999995E-5</v>
      </c>
      <c r="W25" s="29">
        <f t="shared" si="20"/>
        <v>7.3345525199999996E-5</v>
      </c>
      <c r="X25" s="29">
        <f t="shared" si="20"/>
        <v>6.0908234640000009E-5</v>
      </c>
      <c r="Y25" s="29"/>
      <c r="Z25" s="29"/>
      <c r="AA25" s="29">
        <f t="shared" si="21"/>
        <v>28.569295859059203</v>
      </c>
      <c r="AB25" s="29">
        <f t="shared" si="22"/>
        <v>27.080434024319999</v>
      </c>
      <c r="AC25" s="29">
        <f t="shared" si="23"/>
        <v>38.452178131699199</v>
      </c>
      <c r="AD25" s="29">
        <f t="shared" si="24"/>
        <v>45.43193012977919</v>
      </c>
      <c r="AE25" s="29">
        <f t="shared" si="25"/>
        <v>41.184979310304001</v>
      </c>
      <c r="AF25" s="29">
        <f t="shared" si="26"/>
        <v>34.201191915052796</v>
      </c>
      <c r="AG25" s="29"/>
      <c r="AH25" s="29"/>
      <c r="AI25" s="29">
        <f t="shared" ref="AI25:AN25" si="32">AI10*1/4+AJ10*3/4</f>
        <v>12152.121199806561</v>
      </c>
      <c r="AJ25" s="29">
        <f t="shared" si="32"/>
        <v>11518.82489615335</v>
      </c>
      <c r="AK25" s="29">
        <f t="shared" si="32"/>
        <v>16355.864399254664</v>
      </c>
      <c r="AL25" s="29">
        <f t="shared" si="32"/>
        <v>19324.743738937948</v>
      </c>
      <c r="AM25" s="29">
        <f t="shared" si="32"/>
        <v>17518.277757330103</v>
      </c>
      <c r="AN25" s="34">
        <f t="shared" si="32"/>
        <v>14547.681937277272</v>
      </c>
    </row>
    <row r="26" spans="1:40" x14ac:dyDescent="0.25">
      <c r="A26" s="215"/>
      <c r="B26" s="27" t="s">
        <v>112</v>
      </c>
      <c r="C26" s="29">
        <f t="shared" si="18"/>
        <v>1.1858314066450411</v>
      </c>
      <c r="D26" s="29">
        <f t="shared" si="18"/>
        <v>0.89671322665847097</v>
      </c>
      <c r="E26" s="29">
        <f t="shared" si="18"/>
        <v>0.59108310682747933</v>
      </c>
      <c r="F26" s="29">
        <f t="shared" si="18"/>
        <v>0.16182384917045453</v>
      </c>
      <c r="G26" s="29">
        <f t="shared" si="18"/>
        <v>0.35429258045919421</v>
      </c>
      <c r="H26" s="29">
        <f t="shared" si="18"/>
        <v>0.77284727893481397</v>
      </c>
      <c r="I26" s="29"/>
      <c r="J26" s="29"/>
      <c r="K26" s="29">
        <f t="shared" si="19"/>
        <v>4.8009368690082649E-5</v>
      </c>
      <c r="L26" s="29">
        <f t="shared" si="19"/>
        <v>3.6304179216942159E-5</v>
      </c>
      <c r="M26" s="29">
        <f t="shared" si="19"/>
        <v>2.3930490154958681E-5</v>
      </c>
      <c r="N26" s="29">
        <f t="shared" si="19"/>
        <v>6.5515728409090906E-6</v>
      </c>
      <c r="O26" s="29">
        <f t="shared" si="19"/>
        <v>1.4343829168388435E-5</v>
      </c>
      <c r="P26" s="29">
        <f t="shared" si="19"/>
        <v>3.12893635196281E-5</v>
      </c>
      <c r="Q26" s="29"/>
      <c r="R26" s="29"/>
      <c r="S26" s="29">
        <f t="shared" si="20"/>
        <v>9.6018737380165287E-6</v>
      </c>
      <c r="T26" s="29">
        <f t="shared" si="20"/>
        <v>7.2608358433884312E-6</v>
      </c>
      <c r="U26" s="29">
        <f t="shared" si="20"/>
        <v>4.7860980309917355E-6</v>
      </c>
      <c r="V26" s="29">
        <f t="shared" si="20"/>
        <v>1.3103145681818183E-6</v>
      </c>
      <c r="W26" s="29">
        <f t="shared" si="20"/>
        <v>2.8687658336776865E-6</v>
      </c>
      <c r="X26" s="29">
        <f t="shared" si="20"/>
        <v>6.2578727039256194E-6</v>
      </c>
      <c r="Y26" s="29"/>
      <c r="Z26" s="29"/>
      <c r="AA26" s="29">
        <f t="shared" si="21"/>
        <v>1.189816184246318</v>
      </c>
      <c r="AB26" s="29">
        <f t="shared" si="22"/>
        <v>0.89972647353347712</v>
      </c>
      <c r="AC26" s="29">
        <f t="shared" si="23"/>
        <v>0.59306933751034085</v>
      </c>
      <c r="AD26" s="29">
        <f t="shared" si="24"/>
        <v>0.16236762971624996</v>
      </c>
      <c r="AE26" s="29">
        <f t="shared" si="25"/>
        <v>0.35548311828017043</v>
      </c>
      <c r="AF26" s="29">
        <f t="shared" si="26"/>
        <v>0.7754442961069431</v>
      </c>
      <c r="AG26" s="29"/>
      <c r="AH26" s="29"/>
      <c r="AI26" s="29">
        <f t="shared" ref="AI26:AN26" si="33">AI11*1/4+AJ11*3/4</f>
        <v>382.22802430621687</v>
      </c>
      <c r="AJ26" s="29">
        <f t="shared" si="33"/>
        <v>289.03680833064351</v>
      </c>
      <c r="AK26" s="29">
        <f t="shared" si="33"/>
        <v>190.52331289035916</v>
      </c>
      <c r="AL26" s="29">
        <f t="shared" si="33"/>
        <v>52.160543064925676</v>
      </c>
      <c r="AM26" s="29">
        <f t="shared" si="33"/>
        <v>114.19882480461662</v>
      </c>
      <c r="AN26" s="34">
        <f t="shared" si="33"/>
        <v>249.11120321348838</v>
      </c>
    </row>
    <row r="27" spans="1:40" x14ac:dyDescent="0.25">
      <c r="A27" s="216"/>
      <c r="B27" s="27" t="s">
        <v>113</v>
      </c>
      <c r="C27" s="29">
        <f t="shared" si="18"/>
        <v>1.8641698244064493</v>
      </c>
      <c r="D27" s="29">
        <f t="shared" si="18"/>
        <v>3.2423162718019132</v>
      </c>
      <c r="E27" s="29">
        <f t="shared" si="18"/>
        <v>3.006130226153791</v>
      </c>
      <c r="F27" s="29">
        <f t="shared" si="18"/>
        <v>1.730052298204996</v>
      </c>
      <c r="G27" s="29">
        <f t="shared" si="18"/>
        <v>1.8723242034793586</v>
      </c>
      <c r="H27" s="29">
        <f t="shared" si="18"/>
        <v>2.5276521165002657</v>
      </c>
      <c r="I27" s="29"/>
      <c r="J27" s="29"/>
      <c r="K27" s="29">
        <f t="shared" si="19"/>
        <v>7.5472462526576892E-5</v>
      </c>
      <c r="L27" s="29">
        <f t="shared" si="19"/>
        <v>1.312678652551382E-4</v>
      </c>
      <c r="M27" s="29">
        <f t="shared" si="19"/>
        <v>1.217056771722183E-4</v>
      </c>
      <c r="N27" s="29">
        <f t="shared" si="19"/>
        <v>7.0042603166194187E-5</v>
      </c>
      <c r="O27" s="29">
        <f t="shared" si="19"/>
        <v>7.5802599331148123E-5</v>
      </c>
      <c r="P27" s="29">
        <f t="shared" si="19"/>
        <v>1.0233409378543585E-4</v>
      </c>
      <c r="Q27" s="29"/>
      <c r="R27" s="29"/>
      <c r="S27" s="29">
        <f t="shared" si="20"/>
        <v>1.5094492505315379E-5</v>
      </c>
      <c r="T27" s="29">
        <f t="shared" si="20"/>
        <v>2.6253573051027638E-5</v>
      </c>
      <c r="U27" s="29">
        <f t="shared" si="20"/>
        <v>2.4341135434443655E-5</v>
      </c>
      <c r="V27" s="29">
        <f t="shared" si="20"/>
        <v>1.4008520633238834E-5</v>
      </c>
      <c r="W27" s="29">
        <f t="shared" si="20"/>
        <v>1.5160519866229625E-5</v>
      </c>
      <c r="X27" s="29">
        <f t="shared" si="20"/>
        <v>2.046681875708717E-5</v>
      </c>
      <c r="Y27" s="29"/>
      <c r="Z27" s="29"/>
      <c r="AA27" s="29">
        <f t="shared" si="21"/>
        <v>1.8704340387961551</v>
      </c>
      <c r="AB27" s="29">
        <f t="shared" si="22"/>
        <v>3.2532115046180898</v>
      </c>
      <c r="AC27" s="29">
        <f t="shared" si="23"/>
        <v>3.0162317973590853</v>
      </c>
      <c r="AD27" s="29">
        <f t="shared" si="24"/>
        <v>1.7358658342677902</v>
      </c>
      <c r="AE27" s="29">
        <f t="shared" si="25"/>
        <v>1.8786158192238438</v>
      </c>
      <c r="AF27" s="29">
        <f t="shared" si="26"/>
        <v>2.5361458462844571</v>
      </c>
      <c r="AG27" s="29"/>
      <c r="AH27" s="29"/>
      <c r="AI27" s="29">
        <f t="shared" ref="AI27:AN27" si="34">AI12*1/4+AJ12*3/4</f>
        <v>600.87626703197157</v>
      </c>
      <c r="AJ27" s="29">
        <f t="shared" si="34"/>
        <v>1045.093034137954</v>
      </c>
      <c r="AK27" s="29">
        <f t="shared" si="34"/>
        <v>968.96338780636336</v>
      </c>
      <c r="AL27" s="29">
        <f t="shared" si="34"/>
        <v>557.64627938148965</v>
      </c>
      <c r="AM27" s="29">
        <f t="shared" si="34"/>
        <v>603.50466107265584</v>
      </c>
      <c r="AN27" s="34">
        <f t="shared" si="34"/>
        <v>814.73594746215167</v>
      </c>
    </row>
    <row r="28" spans="1:40" x14ac:dyDescent="0.25">
      <c r="A28" s="215" t="s">
        <v>18</v>
      </c>
      <c r="B28" s="27" t="s">
        <v>114</v>
      </c>
      <c r="C28" s="29">
        <f t="shared" si="18"/>
        <v>1.1489753723378238</v>
      </c>
      <c r="D28" s="29">
        <f t="shared" si="18"/>
        <v>1.4565857871942152</v>
      </c>
      <c r="E28" s="29">
        <f t="shared" si="18"/>
        <v>1.5236576134090911</v>
      </c>
      <c r="F28" s="29">
        <f t="shared" si="18"/>
        <v>1.271520927657025</v>
      </c>
      <c r="G28" s="29">
        <f t="shared" si="18"/>
        <v>1.0680969760475207</v>
      </c>
      <c r="H28" s="29">
        <f t="shared" si="18"/>
        <v>0.90201372094834709</v>
      </c>
      <c r="I28" s="29"/>
      <c r="J28" s="29"/>
      <c r="K28" s="29">
        <f t="shared" si="19"/>
        <v>4.7024912919692644E-5</v>
      </c>
      <c r="L28" s="29">
        <f t="shared" si="19"/>
        <v>5.9614697975206605E-5</v>
      </c>
      <c r="M28" s="29">
        <f t="shared" si="19"/>
        <v>6.235979318181819E-5</v>
      </c>
      <c r="N28" s="29">
        <f t="shared" si="19"/>
        <v>5.2040419958677693E-5</v>
      </c>
      <c r="O28" s="29">
        <f t="shared" si="19"/>
        <v>4.3714746632231405E-5</v>
      </c>
      <c r="P28" s="29">
        <f t="shared" si="19"/>
        <v>3.6917341921487603E-5</v>
      </c>
      <c r="Q28" s="29"/>
      <c r="R28" s="29"/>
      <c r="S28" s="29">
        <f t="shared" si="20"/>
        <v>9.4049825839385284E-6</v>
      </c>
      <c r="T28" s="29">
        <f t="shared" si="20"/>
        <v>1.192293959504132E-5</v>
      </c>
      <c r="U28" s="29">
        <f t="shared" si="20"/>
        <v>1.2471958636363638E-5</v>
      </c>
      <c r="V28" s="29">
        <f t="shared" si="20"/>
        <v>1.0408083991735539E-5</v>
      </c>
      <c r="W28" s="29">
        <f t="shared" si="20"/>
        <v>8.7429493264462807E-6</v>
      </c>
      <c r="X28" s="29">
        <f t="shared" si="20"/>
        <v>7.3834683842975205E-6</v>
      </c>
      <c r="Y28" s="29"/>
      <c r="Z28" s="29"/>
      <c r="AA28" s="29">
        <f t="shared" si="21"/>
        <v>1.1528784401101582</v>
      </c>
      <c r="AB28" s="29">
        <f t="shared" si="22"/>
        <v>1.4615338071261574</v>
      </c>
      <c r="AC28" s="29">
        <f t="shared" si="23"/>
        <v>1.5288334762431819</v>
      </c>
      <c r="AD28" s="29">
        <f t="shared" si="24"/>
        <v>1.2758402825135953</v>
      </c>
      <c r="AE28" s="29">
        <f t="shared" si="25"/>
        <v>1.071725300017996</v>
      </c>
      <c r="AF28" s="29">
        <f t="shared" si="26"/>
        <v>0.90507786032783055</v>
      </c>
      <c r="AG28" s="29"/>
      <c r="AH28" s="29"/>
      <c r="AI28" s="29">
        <f t="shared" ref="AI28:AN28" si="35">AI13*1/4+AJ13*3/4</f>
        <v>374.39025025502929</v>
      </c>
      <c r="AJ28" s="29">
        <f t="shared" si="35"/>
        <v>474.62420040907693</v>
      </c>
      <c r="AK28" s="29">
        <f t="shared" si="35"/>
        <v>496.47935797486167</v>
      </c>
      <c r="AL28" s="29">
        <f t="shared" si="35"/>
        <v>414.32135950956922</v>
      </c>
      <c r="AM28" s="29">
        <f t="shared" si="35"/>
        <v>348.03626238343463</v>
      </c>
      <c r="AN28" s="34">
        <f t="shared" si="35"/>
        <v>293.91852153644703</v>
      </c>
    </row>
    <row r="29" spans="1:40" ht="16.5" thickBot="1" x14ac:dyDescent="0.3">
      <c r="A29" s="121"/>
      <c r="B29" s="43" t="s">
        <v>51</v>
      </c>
      <c r="C29" s="45">
        <f t="shared" si="18"/>
        <v>0.27726866603305783</v>
      </c>
      <c r="D29" s="45">
        <f t="shared" si="18"/>
        <v>0.28145967752231404</v>
      </c>
      <c r="E29" s="45">
        <f t="shared" si="18"/>
        <v>0.48018333625041321</v>
      </c>
      <c r="F29" s="45">
        <f t="shared" si="18"/>
        <v>0.55762780606859508</v>
      </c>
      <c r="G29" s="45">
        <f t="shared" si="18"/>
        <v>0.35720365063016535</v>
      </c>
      <c r="H29" s="45">
        <f t="shared" si="18"/>
        <v>8.4889549431818187E-2</v>
      </c>
      <c r="I29" s="45"/>
      <c r="J29" s="45"/>
      <c r="K29" s="45">
        <f t="shared" si="19"/>
        <v>1.1225452066115702E-5</v>
      </c>
      <c r="L29" s="45">
        <f t="shared" si="19"/>
        <v>1.1395128644628099E-5</v>
      </c>
      <c r="M29" s="45">
        <f t="shared" si="19"/>
        <v>1.9440620900826447E-5</v>
      </c>
      <c r="N29" s="45">
        <f t="shared" si="19"/>
        <v>2.2576024537190082E-5</v>
      </c>
      <c r="O29" s="45">
        <f t="shared" si="19"/>
        <v>1.4461686260330578E-5</v>
      </c>
      <c r="P29" s="45">
        <f t="shared" si="19"/>
        <v>3.4368238636363637E-6</v>
      </c>
      <c r="Q29" s="45"/>
      <c r="R29" s="45"/>
      <c r="S29" s="45">
        <f t="shared" si="20"/>
        <v>2.2450904132231404E-6</v>
      </c>
      <c r="T29" s="45">
        <f t="shared" si="20"/>
        <v>2.2790257289256197E-6</v>
      </c>
      <c r="U29" s="45">
        <f t="shared" si="20"/>
        <v>3.8881241801652893E-6</v>
      </c>
      <c r="V29" s="45">
        <f t="shared" si="20"/>
        <v>4.5152049074380165E-6</v>
      </c>
      <c r="W29" s="45">
        <f t="shared" si="20"/>
        <v>2.8923372520661163E-6</v>
      </c>
      <c r="X29" s="45">
        <f t="shared" si="20"/>
        <v>6.8736477272727285E-7</v>
      </c>
      <c r="Y29" s="45"/>
      <c r="Z29" s="45"/>
      <c r="AA29" s="45">
        <f t="shared" si="21"/>
        <v>0.27820037855454544</v>
      </c>
      <c r="AB29" s="45">
        <f t="shared" si="22"/>
        <v>0.28240547319981818</v>
      </c>
      <c r="AC29" s="45">
        <f t="shared" si="23"/>
        <v>0.4817969077851818</v>
      </c>
      <c r="AD29" s="45">
        <f t="shared" si="24"/>
        <v>0.55950161610518179</v>
      </c>
      <c r="AE29" s="45">
        <f t="shared" si="25"/>
        <v>0.3584039705897728</v>
      </c>
      <c r="AF29" s="45">
        <f t="shared" si="26"/>
        <v>8.5174805812500004E-2</v>
      </c>
      <c r="AG29" s="45"/>
      <c r="AH29" s="45"/>
      <c r="AI29" s="45">
        <f t="shared" ref="AI29:AN29" si="36">AI14*1/4+AJ14*3/4</f>
        <v>89.371772265396942</v>
      </c>
      <c r="AJ29" s="45">
        <f t="shared" si="36"/>
        <v>90.722657418553098</v>
      </c>
      <c r="AK29" s="45">
        <f t="shared" si="36"/>
        <v>154.77708457649467</v>
      </c>
      <c r="AL29" s="45">
        <f t="shared" si="36"/>
        <v>179.7396943759725</v>
      </c>
      <c r="AM29" s="45">
        <f t="shared" si="36"/>
        <v>115.13714756604109</v>
      </c>
      <c r="AN29" s="53">
        <f t="shared" si="36"/>
        <v>27.362375951374432</v>
      </c>
    </row>
    <row r="30" spans="1:40" ht="16.5" thickBot="1" x14ac:dyDescent="0.3"/>
    <row r="31" spans="1:40" x14ac:dyDescent="0.25">
      <c r="A31" s="122" t="s">
        <v>147</v>
      </c>
      <c r="B31" s="40"/>
      <c r="C31" s="40" t="s">
        <v>117</v>
      </c>
      <c r="D31" s="40"/>
      <c r="E31" s="40"/>
      <c r="F31" s="40"/>
      <c r="G31" s="40"/>
      <c r="H31" s="40"/>
      <c r="I31" s="40"/>
      <c r="J31" s="40"/>
      <c r="K31" s="40" t="s">
        <v>142</v>
      </c>
      <c r="L31" s="40"/>
      <c r="M31" s="40"/>
      <c r="N31" s="40"/>
      <c r="O31" s="40"/>
      <c r="P31" s="40"/>
      <c r="Q31" s="40"/>
      <c r="R31" s="40"/>
      <c r="S31" s="40" t="s">
        <v>143</v>
      </c>
      <c r="T31" s="40"/>
      <c r="U31" s="40"/>
      <c r="V31" s="40"/>
      <c r="W31" s="40"/>
      <c r="X31" s="40"/>
      <c r="Y31" s="40"/>
      <c r="Z31" s="40"/>
      <c r="AA31" s="217" t="s">
        <v>145</v>
      </c>
      <c r="AB31" s="40"/>
      <c r="AC31" s="40"/>
      <c r="AD31" s="40"/>
      <c r="AE31" s="40"/>
      <c r="AF31" s="40"/>
      <c r="AG31" s="40"/>
      <c r="AH31" s="40"/>
      <c r="AI31" s="217" t="s">
        <v>174</v>
      </c>
      <c r="AJ31" s="40"/>
      <c r="AK31" s="40"/>
      <c r="AL31" s="40"/>
      <c r="AM31" s="40"/>
      <c r="AN31" s="41"/>
    </row>
    <row r="32" spans="1:40" x14ac:dyDescent="0.25">
      <c r="A32" s="31"/>
      <c r="B32" s="27" t="s">
        <v>106</v>
      </c>
      <c r="C32" s="29">
        <f>C19</f>
        <v>605.15397802860002</v>
      </c>
      <c r="D32" s="29">
        <f t="shared" ref="D32:AG32" si="37">D19</f>
        <v>649.06009378210001</v>
      </c>
      <c r="E32" s="29">
        <f t="shared" si="37"/>
        <v>676.04227796104999</v>
      </c>
      <c r="F32" s="29">
        <f t="shared" si="37"/>
        <v>707.14142454669991</v>
      </c>
      <c r="G32" s="29">
        <f t="shared" si="37"/>
        <v>767.95689605992493</v>
      </c>
      <c r="H32" s="29">
        <f t="shared" si="37"/>
        <v>837.55406091142493</v>
      </c>
      <c r="I32" s="29">
        <f t="shared" si="37"/>
        <v>0</v>
      </c>
      <c r="J32" s="29"/>
      <c r="K32" s="29">
        <f t="shared" si="37"/>
        <v>6.3161880600000001E-3</v>
      </c>
      <c r="L32" s="29">
        <f t="shared" si="37"/>
        <v>6.7744504099999997E-3</v>
      </c>
      <c r="M32" s="29">
        <f t="shared" si="37"/>
        <v>7.0560722049999997E-3</v>
      </c>
      <c r="N32" s="29">
        <f t="shared" si="37"/>
        <v>7.3806640699999992E-3</v>
      </c>
      <c r="O32" s="29">
        <f t="shared" si="37"/>
        <v>8.0154148425000005E-3</v>
      </c>
      <c r="P32" s="29">
        <f t="shared" si="37"/>
        <v>8.7418229924999986E-3</v>
      </c>
      <c r="Q32" s="29">
        <f t="shared" si="37"/>
        <v>0</v>
      </c>
      <c r="R32" s="29"/>
      <c r="S32" s="29">
        <f t="shared" si="37"/>
        <v>8.8426632839999977E-3</v>
      </c>
      <c r="T32" s="29">
        <f t="shared" si="37"/>
        <v>9.4842305740000001E-3</v>
      </c>
      <c r="U32" s="29">
        <f t="shared" si="37"/>
        <v>9.8785010869999971E-3</v>
      </c>
      <c r="V32" s="29">
        <f t="shared" si="37"/>
        <v>1.0332929697999999E-2</v>
      </c>
      <c r="W32" s="29">
        <f t="shared" si="37"/>
        <v>1.1221580779499999E-2</v>
      </c>
      <c r="X32" s="29">
        <f>X19</f>
        <v>1.2238552189499997E-2</v>
      </c>
      <c r="Y32" s="29">
        <f t="shared" si="37"/>
        <v>0</v>
      </c>
      <c r="Z32" s="29"/>
      <c r="AA32" s="29">
        <f t="shared" si="37"/>
        <v>608.02784359589998</v>
      </c>
      <c r="AB32" s="29">
        <f t="shared" si="37"/>
        <v>652.14246871865009</v>
      </c>
      <c r="AC32" s="29">
        <f t="shared" si="37"/>
        <v>679.25279081432507</v>
      </c>
      <c r="AD32" s="29">
        <f t="shared" si="37"/>
        <v>710.49962669854995</v>
      </c>
      <c r="AE32" s="29">
        <f t="shared" si="37"/>
        <v>771.60390981326248</v>
      </c>
      <c r="AF32" s="29">
        <f t="shared" si="37"/>
        <v>841.53159037301248</v>
      </c>
      <c r="AG32" s="29">
        <f t="shared" si="37"/>
        <v>0</v>
      </c>
      <c r="AH32" s="29"/>
      <c r="AI32" s="29">
        <f>AI19</f>
        <v>150859.56028113898</v>
      </c>
      <c r="AJ32" s="29">
        <f t="shared" ref="AJ32:AN32" si="38">AJ19</f>
        <v>161804.96848584677</v>
      </c>
      <c r="AK32" s="29">
        <f t="shared" si="38"/>
        <v>168531.38950999928</v>
      </c>
      <c r="AL32" s="29">
        <f t="shared" si="38"/>
        <v>176284.13302548206</v>
      </c>
      <c r="AM32" s="29">
        <f t="shared" si="38"/>
        <v>191444.8947884026</v>
      </c>
      <c r="AN32" s="34">
        <f t="shared" si="38"/>
        <v>208794.85540588869</v>
      </c>
    </row>
    <row r="33" spans="1:41" x14ac:dyDescent="0.25">
      <c r="A33" s="31"/>
      <c r="B33" s="27" t="s">
        <v>107</v>
      </c>
      <c r="C33" s="29">
        <f>C20</f>
        <v>3.8202907855717578</v>
      </c>
      <c r="D33" s="29">
        <f t="shared" ref="D33:AG33" si="39">D20</f>
        <v>4.0376908497122024</v>
      </c>
      <c r="E33" s="29">
        <f t="shared" si="39"/>
        <v>3.2790048302762855</v>
      </c>
      <c r="F33" s="29">
        <f t="shared" si="39"/>
        <v>2.7740805841519571</v>
      </c>
      <c r="G33" s="29">
        <f t="shared" si="39"/>
        <v>2.5414765619435919</v>
      </c>
      <c r="H33" s="29">
        <f t="shared" si="39"/>
        <v>2.3411234394186491</v>
      </c>
      <c r="I33" s="29">
        <f t="shared" si="39"/>
        <v>0</v>
      </c>
      <c r="J33" s="29"/>
      <c r="K33" s="29">
        <f t="shared" si="39"/>
        <v>1.4807328626247122E-4</v>
      </c>
      <c r="L33" s="29">
        <f t="shared" si="39"/>
        <v>1.5649964533768229E-4</v>
      </c>
      <c r="M33" s="29">
        <f t="shared" si="39"/>
        <v>1.2709321047582503E-4</v>
      </c>
      <c r="N33" s="29">
        <f t="shared" si="39"/>
        <v>1.0752250326170375E-4</v>
      </c>
      <c r="O33" s="29">
        <f t="shared" si="39"/>
        <v>9.8506843486185705E-5</v>
      </c>
      <c r="P33" s="29">
        <f t="shared" si="39"/>
        <v>9.0741218582118176E-5</v>
      </c>
      <c r="Q33" s="29">
        <f t="shared" si="39"/>
        <v>0</v>
      </c>
      <c r="R33" s="29"/>
      <c r="S33" s="29">
        <f t="shared" si="39"/>
        <v>2.9614657252494242E-5</v>
      </c>
      <c r="T33" s="29">
        <f t="shared" si="39"/>
        <v>3.1299929067536459E-5</v>
      </c>
      <c r="U33" s="29">
        <f t="shared" si="39"/>
        <v>2.5418642095165008E-5</v>
      </c>
      <c r="V33" s="29">
        <f t="shared" si="39"/>
        <v>2.1504500652340755E-5</v>
      </c>
      <c r="W33" s="29">
        <f t="shared" si="39"/>
        <v>1.9701368697237146E-5</v>
      </c>
      <c r="X33" s="29">
        <f t="shared" si="39"/>
        <v>1.8148243716423639E-5</v>
      </c>
      <c r="Y33" s="29">
        <f t="shared" si="39"/>
        <v>0</v>
      </c>
      <c r="Z33" s="29"/>
      <c r="AA33" s="29">
        <f t="shared" si="39"/>
        <v>3.8325808683315428</v>
      </c>
      <c r="AB33" s="29">
        <f t="shared" si="39"/>
        <v>4.0506803202752302</v>
      </c>
      <c r="AC33" s="29">
        <f t="shared" si="39"/>
        <v>3.2895535667457794</v>
      </c>
      <c r="AD33" s="29">
        <f t="shared" si="39"/>
        <v>2.7830049519226785</v>
      </c>
      <c r="AE33" s="29">
        <f t="shared" si="39"/>
        <v>2.5496526299529454</v>
      </c>
      <c r="AF33" s="29">
        <f t="shared" si="39"/>
        <v>2.3486549605609652</v>
      </c>
      <c r="AG33" s="29">
        <f t="shared" si="39"/>
        <v>0</v>
      </c>
      <c r="AH33" s="29"/>
      <c r="AI33" s="29">
        <f>AI20</f>
        <v>1178.8898959699238</v>
      </c>
      <c r="AJ33" s="29">
        <f t="shared" ref="AJ33:AN33" si="40">AJ20</f>
        <v>1245.9766056953531</v>
      </c>
      <c r="AK33" s="29">
        <f t="shared" si="40"/>
        <v>1011.8563952902741</v>
      </c>
      <c r="AL33" s="29">
        <f t="shared" si="40"/>
        <v>856.04362464090207</v>
      </c>
      <c r="AM33" s="29">
        <f t="shared" si="40"/>
        <v>784.26517976988782</v>
      </c>
      <c r="AN33" s="34">
        <f t="shared" si="40"/>
        <v>722.43892490396956</v>
      </c>
    </row>
    <row r="34" spans="1:41" x14ac:dyDescent="0.25">
      <c r="A34" s="31"/>
      <c r="B34" s="27" t="s">
        <v>108</v>
      </c>
      <c r="C34" s="29">
        <f>C21+C26+C29</f>
        <v>2.15061341330036</v>
      </c>
      <c r="D34" s="29">
        <f t="shared" ref="D34:AG34" si="41">D21+D26+D29</f>
        <v>1.8788168167574719</v>
      </c>
      <c r="E34" s="29">
        <f t="shared" si="41"/>
        <v>1.7853145975476559</v>
      </c>
      <c r="F34" s="29">
        <f t="shared" si="41"/>
        <v>1.5814449407780504</v>
      </c>
      <c r="G34" s="29">
        <f t="shared" si="41"/>
        <v>1.5211606129254682</v>
      </c>
      <c r="H34" s="29">
        <f t="shared" si="41"/>
        <v>1.5325629144095769</v>
      </c>
      <c r="I34" s="29">
        <f t="shared" si="41"/>
        <v>0</v>
      </c>
      <c r="J34" s="29"/>
      <c r="K34" s="29">
        <f t="shared" si="41"/>
        <v>8.7069368959528758E-5</v>
      </c>
      <c r="L34" s="29">
        <f t="shared" si="41"/>
        <v>7.6065458168318725E-5</v>
      </c>
      <c r="M34" s="29">
        <f t="shared" si="41"/>
        <v>7.2279943220552882E-5</v>
      </c>
      <c r="N34" s="29">
        <f t="shared" si="41"/>
        <v>6.4026110962674108E-5</v>
      </c>
      <c r="O34" s="29">
        <f t="shared" si="41"/>
        <v>6.1585449916010861E-5</v>
      </c>
      <c r="P34" s="29">
        <f t="shared" si="41"/>
        <v>6.20470815550436E-5</v>
      </c>
      <c r="Q34" s="29">
        <f t="shared" si="41"/>
        <v>0</v>
      </c>
      <c r="R34" s="29"/>
      <c r="S34" s="29">
        <f t="shared" si="41"/>
        <v>1.7413873791905752E-5</v>
      </c>
      <c r="T34" s="29">
        <f t="shared" si="41"/>
        <v>1.5213091633663742E-5</v>
      </c>
      <c r="U34" s="29">
        <f t="shared" si="41"/>
        <v>1.4455988644110574E-5</v>
      </c>
      <c r="V34" s="29">
        <f t="shared" si="41"/>
        <v>1.2805222192534822E-5</v>
      </c>
      <c r="W34" s="29">
        <f t="shared" si="41"/>
        <v>1.2317089983202173E-5</v>
      </c>
      <c r="X34" s="29">
        <f t="shared" si="41"/>
        <v>1.2409416311008722E-5</v>
      </c>
      <c r="Y34" s="29">
        <f t="shared" si="41"/>
        <v>0</v>
      </c>
      <c r="Z34" s="29"/>
      <c r="AA34" s="29">
        <f t="shared" si="41"/>
        <v>2.1578401709240009</v>
      </c>
      <c r="AB34" s="29">
        <f t="shared" si="41"/>
        <v>1.8851302497854425</v>
      </c>
      <c r="AC34" s="29">
        <f t="shared" si="41"/>
        <v>1.7913138328349618</v>
      </c>
      <c r="AD34" s="29">
        <f t="shared" si="41"/>
        <v>1.5867591079879524</v>
      </c>
      <c r="AE34" s="29">
        <f t="shared" si="41"/>
        <v>1.5262722052684972</v>
      </c>
      <c r="AF34" s="29">
        <f t="shared" si="41"/>
        <v>1.5377128221786454</v>
      </c>
      <c r="AG34" s="29">
        <f t="shared" si="41"/>
        <v>0</v>
      </c>
      <c r="AH34" s="29"/>
      <c r="AI34" s="29">
        <f>AI21+AI26+AI29</f>
        <v>693.20538434542004</v>
      </c>
      <c r="AJ34" s="29">
        <f t="shared" ref="AJ34:AN34" si="42">AJ21+AJ26+AJ29</f>
        <v>605.59741956426865</v>
      </c>
      <c r="AK34" s="29">
        <f t="shared" si="42"/>
        <v>575.45892912073396</v>
      </c>
      <c r="AL34" s="29">
        <f t="shared" si="42"/>
        <v>509.74579681004775</v>
      </c>
      <c r="AM34" s="29">
        <f t="shared" si="42"/>
        <v>490.31440091127297</v>
      </c>
      <c r="AN34" s="34">
        <f t="shared" si="42"/>
        <v>493.98969500821812</v>
      </c>
    </row>
    <row r="35" spans="1:41" x14ac:dyDescent="0.25">
      <c r="A35" s="31"/>
      <c r="B35" s="27" t="s">
        <v>109</v>
      </c>
      <c r="C35" s="29">
        <f>C22+C28</f>
        <v>2.3495993955630734</v>
      </c>
      <c r="D35" s="29">
        <f t="shared" ref="D35:AG35" si="43">D22+D28</f>
        <v>2.5679464219409533</v>
      </c>
      <c r="E35" s="29">
        <f t="shared" si="43"/>
        <v>2.0782404243118155</v>
      </c>
      <c r="F35" s="29">
        <f t="shared" si="43"/>
        <v>1.3757006516641239</v>
      </c>
      <c r="G35" s="29">
        <f t="shared" si="43"/>
        <v>1.1233952600579773</v>
      </c>
      <c r="H35" s="29">
        <f t="shared" si="43"/>
        <v>1.0133321839208145</v>
      </c>
      <c r="I35" s="29">
        <f t="shared" si="43"/>
        <v>0</v>
      </c>
      <c r="J35" s="29"/>
      <c r="K35" s="29">
        <f t="shared" si="43"/>
        <v>9.6163686039416377E-5</v>
      </c>
      <c r="L35" s="29">
        <f t="shared" si="43"/>
        <v>1.051001264095888E-4</v>
      </c>
      <c r="M35" s="29">
        <f t="shared" si="43"/>
        <v>8.5057588989569528E-5</v>
      </c>
      <c r="N35" s="29">
        <f t="shared" si="43"/>
        <v>5.6304255866198802E-5</v>
      </c>
      <c r="O35" s="29">
        <f t="shared" si="43"/>
        <v>4.59779779014179E-5</v>
      </c>
      <c r="P35" s="29">
        <f t="shared" si="43"/>
        <v>4.1473349955831425E-5</v>
      </c>
      <c r="Q35" s="29">
        <f t="shared" si="43"/>
        <v>0</v>
      </c>
      <c r="R35" s="29"/>
      <c r="S35" s="29">
        <f t="shared" si="43"/>
        <v>1.9232737207883275E-5</v>
      </c>
      <c r="T35" s="29">
        <f t="shared" si="43"/>
        <v>2.1020025281917759E-5</v>
      </c>
      <c r="U35" s="29">
        <f t="shared" si="43"/>
        <v>1.7011517797913904E-5</v>
      </c>
      <c r="V35" s="29">
        <f t="shared" si="43"/>
        <v>1.1260851173239761E-5</v>
      </c>
      <c r="W35" s="29">
        <f t="shared" si="43"/>
        <v>9.19559558028358E-6</v>
      </c>
      <c r="X35" s="29">
        <f t="shared" si="43"/>
        <v>8.2946699911662849E-6</v>
      </c>
      <c r="Y35" s="29">
        <f t="shared" si="43"/>
        <v>0</v>
      </c>
      <c r="Z35" s="29"/>
      <c r="AA35" s="29">
        <f t="shared" si="43"/>
        <v>2.3575809815043449</v>
      </c>
      <c r="AB35" s="29">
        <f t="shared" si="43"/>
        <v>2.5766697324329497</v>
      </c>
      <c r="AC35" s="29">
        <f t="shared" si="43"/>
        <v>2.0853002041979498</v>
      </c>
      <c r="AD35" s="29">
        <f t="shared" si="43"/>
        <v>1.3803739049010186</v>
      </c>
      <c r="AE35" s="29">
        <f t="shared" si="43"/>
        <v>1.1272114322237952</v>
      </c>
      <c r="AF35" s="29">
        <f t="shared" si="43"/>
        <v>1.0167744719671485</v>
      </c>
      <c r="AG35" s="29">
        <f t="shared" si="43"/>
        <v>0</v>
      </c>
      <c r="AH35" s="29"/>
      <c r="AI35" s="29">
        <f>AI22+AI28</f>
        <v>765.61006169702591</v>
      </c>
      <c r="AJ35" s="29">
        <f t="shared" ref="AJ35:AN35" si="44">AJ22+AJ28</f>
        <v>836.7577989037211</v>
      </c>
      <c r="AK35" s="29">
        <f t="shared" si="44"/>
        <v>677.18853796236863</v>
      </c>
      <c r="AL35" s="29">
        <f t="shared" si="44"/>
        <v>448.26801657599214</v>
      </c>
      <c r="AM35" s="29">
        <f t="shared" si="44"/>
        <v>366.05504580367784</v>
      </c>
      <c r="AN35" s="34">
        <f t="shared" si="44"/>
        <v>330.1913157265156</v>
      </c>
    </row>
    <row r="36" spans="1:41" x14ac:dyDescent="0.25">
      <c r="A36" s="31"/>
      <c r="B36" s="27" t="s">
        <v>8</v>
      </c>
      <c r="C36" s="29">
        <f>C23+C25</f>
        <v>29.02029267456</v>
      </c>
      <c r="D36" s="29">
        <f t="shared" ref="D36:AG36" si="45">D23+D25</f>
        <v>27.323185903199999</v>
      </c>
      <c r="E36" s="29">
        <f t="shared" si="45"/>
        <v>39.049052034959999</v>
      </c>
      <c r="F36" s="29">
        <f t="shared" si="45"/>
        <v>46.821370210559991</v>
      </c>
      <c r="G36" s="29">
        <f t="shared" si="45"/>
        <v>42.364575970199994</v>
      </c>
      <c r="H36" s="29">
        <f t="shared" si="45"/>
        <v>34.817040755639994</v>
      </c>
      <c r="I36" s="29">
        <f t="shared" si="45"/>
        <v>0</v>
      </c>
      <c r="J36" s="29"/>
      <c r="K36" s="29">
        <f t="shared" si="45"/>
        <v>5.1729576960000002E-4</v>
      </c>
      <c r="L36" s="29">
        <f t="shared" si="45"/>
        <v>4.8704431199999995E-4</v>
      </c>
      <c r="M36" s="29">
        <f t="shared" si="45"/>
        <v>6.9606153359999989E-4</v>
      </c>
      <c r="N36" s="29">
        <f t="shared" si="45"/>
        <v>8.3460552960000001E-4</v>
      </c>
      <c r="O36" s="29">
        <f t="shared" si="45"/>
        <v>7.5516178199999998E-4</v>
      </c>
      <c r="P36" s="29">
        <f t="shared" si="45"/>
        <v>6.2062461240000003E-4</v>
      </c>
      <c r="Q36" s="29">
        <f t="shared" si="45"/>
        <v>0</v>
      </c>
      <c r="R36" s="29"/>
      <c r="S36" s="29">
        <f t="shared" si="45"/>
        <v>5.1729576960000005E-5</v>
      </c>
      <c r="T36" s="29">
        <f t="shared" si="45"/>
        <v>4.8704431200000002E-5</v>
      </c>
      <c r="U36" s="29">
        <f t="shared" si="45"/>
        <v>6.9606153359999989E-5</v>
      </c>
      <c r="V36" s="29">
        <f t="shared" si="45"/>
        <v>8.346055295999999E-5</v>
      </c>
      <c r="W36" s="29">
        <f t="shared" si="45"/>
        <v>7.551617819999999E-5</v>
      </c>
      <c r="X36" s="29">
        <f t="shared" si="45"/>
        <v>6.2062461240000014E-5</v>
      </c>
      <c r="Y36" s="29">
        <f t="shared" si="45"/>
        <v>0</v>
      </c>
      <c r="Z36" s="29"/>
      <c r="AA36" s="29">
        <f t="shared" si="45"/>
        <v>29.047192054579202</v>
      </c>
      <c r="AB36" s="29">
        <f t="shared" si="45"/>
        <v>27.348512207423997</v>
      </c>
      <c r="AC36" s="29">
        <f t="shared" si="45"/>
        <v>39.085247234707197</v>
      </c>
      <c r="AD36" s="29">
        <f t="shared" si="45"/>
        <v>46.864769698099188</v>
      </c>
      <c r="AE36" s="29">
        <f t="shared" si="45"/>
        <v>42.403844382864001</v>
      </c>
      <c r="AF36" s="29">
        <f t="shared" si="45"/>
        <v>34.849313235484793</v>
      </c>
      <c r="AG36" s="29">
        <f t="shared" si="45"/>
        <v>0</v>
      </c>
      <c r="AH36" s="29"/>
      <c r="AI36" s="29">
        <f>AI23+AI25</f>
        <v>12355.397210441733</v>
      </c>
      <c r="AJ36" s="29">
        <f t="shared" ref="AJ36:AN36" si="46">AJ23+AJ25</f>
        <v>11632.853557838784</v>
      </c>
      <c r="AK36" s="29">
        <f t="shared" si="46"/>
        <v>16625.144135988761</v>
      </c>
      <c r="AL36" s="29">
        <f t="shared" si="46"/>
        <v>19934.210635847201</v>
      </c>
      <c r="AM36" s="29">
        <f t="shared" si="46"/>
        <v>18036.729320190843</v>
      </c>
      <c r="AN36" s="34">
        <f t="shared" si="46"/>
        <v>14823.364224895531</v>
      </c>
    </row>
    <row r="37" spans="1:41" x14ac:dyDescent="0.25">
      <c r="A37" s="31"/>
      <c r="B37" s="27" t="s">
        <v>110</v>
      </c>
      <c r="C37" s="29">
        <f>C24</f>
        <v>26.136560835000001</v>
      </c>
      <c r="D37" s="29">
        <f t="shared" ref="D37:AG37" si="47">D24</f>
        <v>26.07844530225</v>
      </c>
      <c r="E37" s="29">
        <f t="shared" si="47"/>
        <v>27.125296336874996</v>
      </c>
      <c r="F37" s="29">
        <f t="shared" si="47"/>
        <v>29.224141373625002</v>
      </c>
      <c r="G37" s="29">
        <f t="shared" si="47"/>
        <v>30.892005733875003</v>
      </c>
      <c r="H37" s="29">
        <f t="shared" si="47"/>
        <v>32.376266154374996</v>
      </c>
      <c r="I37" s="29">
        <f t="shared" si="47"/>
        <v>0</v>
      </c>
      <c r="J37" s="29"/>
      <c r="K37" s="29">
        <f t="shared" si="47"/>
        <v>2.4622289999999997E-4</v>
      </c>
      <c r="L37" s="29">
        <f t="shared" si="47"/>
        <v>2.4567541499999996E-4</v>
      </c>
      <c r="M37" s="29">
        <f t="shared" si="47"/>
        <v>2.5553741249999999E-4</v>
      </c>
      <c r="N37" s="29">
        <f t="shared" si="47"/>
        <v>2.7530985749999999E-4</v>
      </c>
      <c r="O37" s="29">
        <f t="shared" si="47"/>
        <v>2.9102219249999998E-4</v>
      </c>
      <c r="P37" s="29">
        <f t="shared" si="47"/>
        <v>3.0500486249999996E-4</v>
      </c>
      <c r="Q37" s="29">
        <f t="shared" si="47"/>
        <v>0</v>
      </c>
      <c r="R37" s="29"/>
      <c r="S37" s="29">
        <f t="shared" si="47"/>
        <v>3.4471205999999993E-4</v>
      </c>
      <c r="T37" s="29">
        <f t="shared" si="47"/>
        <v>3.4394558099999997E-4</v>
      </c>
      <c r="U37" s="29">
        <f t="shared" si="47"/>
        <v>3.5775237749999998E-4</v>
      </c>
      <c r="V37" s="29">
        <f t="shared" si="47"/>
        <v>3.8543380050000008E-4</v>
      </c>
      <c r="W37" s="29">
        <f t="shared" si="47"/>
        <v>4.0743106949999998E-4</v>
      </c>
      <c r="X37" s="29">
        <f t="shared" si="47"/>
        <v>4.2700680749999987E-4</v>
      </c>
      <c r="Y37" s="29">
        <f t="shared" si="47"/>
        <v>0</v>
      </c>
      <c r="Z37" s="29"/>
      <c r="AA37" s="29">
        <f t="shared" si="47"/>
        <v>26.2485922545</v>
      </c>
      <c r="AB37" s="29">
        <f t="shared" si="47"/>
        <v>26.190227616074999</v>
      </c>
      <c r="AC37" s="29">
        <f t="shared" si="47"/>
        <v>27.241565859562495</v>
      </c>
      <c r="AD37" s="29">
        <f t="shared" si="47"/>
        <v>29.349407358787506</v>
      </c>
      <c r="AE37" s="29">
        <f t="shared" si="47"/>
        <v>31.024420831462503</v>
      </c>
      <c r="AF37" s="29">
        <f t="shared" si="47"/>
        <v>32.515043366812499</v>
      </c>
      <c r="AG37" s="29">
        <f t="shared" si="47"/>
        <v>0</v>
      </c>
      <c r="AH37" s="29"/>
      <c r="AI37" s="29">
        <f>AI24</f>
        <v>5880.9329412441293</v>
      </c>
      <c r="AJ37" s="29">
        <f t="shared" ref="AJ37:AN37" si="48">AJ24</f>
        <v>5867.8564866522247</v>
      </c>
      <c r="AK37" s="29">
        <f t="shared" si="48"/>
        <v>6103.4062505621514</v>
      </c>
      <c r="AL37" s="29">
        <f t="shared" si="48"/>
        <v>6575.6629867529673</v>
      </c>
      <c r="AM37" s="29">
        <f t="shared" si="48"/>
        <v>6950.9456614569172</v>
      </c>
      <c r="AN37" s="34">
        <f t="shared" si="48"/>
        <v>7284.9159973174155</v>
      </c>
    </row>
    <row r="38" spans="1:41" ht="16.5" thickBot="1" x14ac:dyDescent="0.3">
      <c r="A38" s="35"/>
      <c r="B38" s="43" t="s">
        <v>113</v>
      </c>
      <c r="C38" s="45">
        <f>C27</f>
        <v>1.8641698244064493</v>
      </c>
      <c r="D38" s="45">
        <f t="shared" ref="D38:AG38" si="49">D27</f>
        <v>3.2423162718019132</v>
      </c>
      <c r="E38" s="45">
        <f t="shared" si="49"/>
        <v>3.006130226153791</v>
      </c>
      <c r="F38" s="45">
        <f t="shared" si="49"/>
        <v>1.730052298204996</v>
      </c>
      <c r="G38" s="45">
        <f t="shared" si="49"/>
        <v>1.8723242034793586</v>
      </c>
      <c r="H38" s="45">
        <f t="shared" si="49"/>
        <v>2.5276521165002657</v>
      </c>
      <c r="I38" s="45">
        <f t="shared" si="49"/>
        <v>0</v>
      </c>
      <c r="J38" s="45"/>
      <c r="K38" s="45">
        <f t="shared" si="49"/>
        <v>7.5472462526576892E-5</v>
      </c>
      <c r="L38" s="45">
        <f t="shared" si="49"/>
        <v>1.312678652551382E-4</v>
      </c>
      <c r="M38" s="45">
        <f t="shared" si="49"/>
        <v>1.217056771722183E-4</v>
      </c>
      <c r="N38" s="45">
        <f t="shared" si="49"/>
        <v>7.0042603166194187E-5</v>
      </c>
      <c r="O38" s="45">
        <f t="shared" si="49"/>
        <v>7.5802599331148123E-5</v>
      </c>
      <c r="P38" s="45">
        <f t="shared" si="49"/>
        <v>1.0233409378543585E-4</v>
      </c>
      <c r="Q38" s="45">
        <f t="shared" si="49"/>
        <v>0</v>
      </c>
      <c r="R38" s="45"/>
      <c r="S38" s="45">
        <f t="shared" si="49"/>
        <v>1.5094492505315379E-5</v>
      </c>
      <c r="T38" s="45">
        <f t="shared" si="49"/>
        <v>2.6253573051027638E-5</v>
      </c>
      <c r="U38" s="45">
        <f t="shared" si="49"/>
        <v>2.4341135434443655E-5</v>
      </c>
      <c r="V38" s="45">
        <f t="shared" si="49"/>
        <v>1.4008520633238834E-5</v>
      </c>
      <c r="W38" s="45">
        <f t="shared" si="49"/>
        <v>1.5160519866229625E-5</v>
      </c>
      <c r="X38" s="45">
        <f t="shared" si="49"/>
        <v>2.046681875708717E-5</v>
      </c>
      <c r="Y38" s="45">
        <f t="shared" si="49"/>
        <v>0</v>
      </c>
      <c r="Z38" s="45"/>
      <c r="AA38" s="45">
        <f t="shared" si="49"/>
        <v>1.8704340387961551</v>
      </c>
      <c r="AB38" s="45">
        <f t="shared" si="49"/>
        <v>3.2532115046180898</v>
      </c>
      <c r="AC38" s="45">
        <f t="shared" si="49"/>
        <v>3.0162317973590853</v>
      </c>
      <c r="AD38" s="45">
        <f t="shared" si="49"/>
        <v>1.7358658342677902</v>
      </c>
      <c r="AE38" s="45">
        <f t="shared" si="49"/>
        <v>1.8786158192238438</v>
      </c>
      <c r="AF38" s="45">
        <f t="shared" si="49"/>
        <v>2.5361458462844571</v>
      </c>
      <c r="AG38" s="45">
        <f t="shared" si="49"/>
        <v>0</v>
      </c>
      <c r="AH38" s="45"/>
      <c r="AI38" s="45">
        <f>AI27</f>
        <v>600.87626703197157</v>
      </c>
      <c r="AJ38" s="45">
        <f t="shared" ref="AJ38:AN38" si="50">AJ27</f>
        <v>1045.093034137954</v>
      </c>
      <c r="AK38" s="45">
        <f t="shared" si="50"/>
        <v>968.96338780636336</v>
      </c>
      <c r="AL38" s="45">
        <f t="shared" si="50"/>
        <v>557.64627938148965</v>
      </c>
      <c r="AM38" s="45">
        <f t="shared" si="50"/>
        <v>603.50466107265584</v>
      </c>
      <c r="AN38" s="53">
        <f t="shared" si="50"/>
        <v>814.73594746215167</v>
      </c>
    </row>
    <row r="40" spans="1:41" ht="16.5" thickBot="1" x14ac:dyDescent="0.3"/>
    <row r="41" spans="1:41" x14ac:dyDescent="0.25">
      <c r="A41" s="123" t="s">
        <v>148</v>
      </c>
      <c r="B41" s="40"/>
      <c r="C41" s="40" t="s">
        <v>117</v>
      </c>
      <c r="D41" s="40"/>
      <c r="E41" s="40"/>
      <c r="F41" s="40"/>
      <c r="G41" s="40"/>
      <c r="H41" s="40"/>
      <c r="I41" s="40"/>
      <c r="J41" s="40"/>
      <c r="K41" s="40" t="s">
        <v>142</v>
      </c>
      <c r="L41" s="40"/>
      <c r="M41" s="40"/>
      <c r="N41" s="40"/>
      <c r="O41" s="40"/>
      <c r="P41" s="40"/>
      <c r="Q41" s="40"/>
      <c r="R41" s="40"/>
      <c r="S41" s="40" t="s">
        <v>143</v>
      </c>
      <c r="T41" s="40"/>
      <c r="U41" s="40"/>
      <c r="V41" s="40"/>
      <c r="W41" s="40"/>
      <c r="X41" s="40"/>
      <c r="Y41" s="40"/>
      <c r="Z41" s="40"/>
      <c r="AA41" s="40" t="s">
        <v>145</v>
      </c>
      <c r="AB41" s="40"/>
      <c r="AC41" s="40"/>
      <c r="AD41" s="40"/>
      <c r="AE41" s="40"/>
      <c r="AF41" s="40"/>
      <c r="AG41" s="40"/>
      <c r="AH41" s="40"/>
      <c r="AI41" s="40" t="s">
        <v>174</v>
      </c>
      <c r="AJ41" s="40"/>
      <c r="AK41" s="40"/>
      <c r="AL41" s="40"/>
      <c r="AM41" s="40"/>
      <c r="AN41" s="40"/>
      <c r="AO41" s="41"/>
    </row>
    <row r="42" spans="1:41" s="113" customFormat="1" x14ac:dyDescent="0.25">
      <c r="A42" s="124"/>
      <c r="B42" s="118" t="s">
        <v>30</v>
      </c>
      <c r="C42" s="118" t="s">
        <v>31</v>
      </c>
      <c r="D42" s="118" t="s">
        <v>32</v>
      </c>
      <c r="E42" s="118" t="s">
        <v>33</v>
      </c>
      <c r="F42" s="118" t="s">
        <v>34</v>
      </c>
      <c r="G42" s="118" t="s">
        <v>35</v>
      </c>
      <c r="H42" s="118" t="s">
        <v>0</v>
      </c>
      <c r="I42" s="118"/>
      <c r="J42" s="118" t="s">
        <v>30</v>
      </c>
      <c r="K42" s="118" t="s">
        <v>31</v>
      </c>
      <c r="L42" s="118" t="s">
        <v>32</v>
      </c>
      <c r="M42" s="118" t="s">
        <v>33</v>
      </c>
      <c r="N42" s="118" t="s">
        <v>34</v>
      </c>
      <c r="O42" s="118" t="s">
        <v>35</v>
      </c>
      <c r="P42" s="118" t="s">
        <v>0</v>
      </c>
      <c r="Q42" s="118"/>
      <c r="R42" s="118" t="s">
        <v>30</v>
      </c>
      <c r="S42" s="118" t="s">
        <v>31</v>
      </c>
      <c r="T42" s="118" t="s">
        <v>32</v>
      </c>
      <c r="U42" s="118" t="s">
        <v>33</v>
      </c>
      <c r="V42" s="118" t="s">
        <v>34</v>
      </c>
      <c r="W42" s="118" t="s">
        <v>35</v>
      </c>
      <c r="X42" s="118" t="s">
        <v>0</v>
      </c>
      <c r="Y42" s="118"/>
      <c r="Z42" s="118"/>
      <c r="AA42" s="118" t="s">
        <v>30</v>
      </c>
      <c r="AB42" s="118" t="s">
        <v>31</v>
      </c>
      <c r="AC42" s="118" t="s">
        <v>32</v>
      </c>
      <c r="AD42" s="118" t="s">
        <v>33</v>
      </c>
      <c r="AE42" s="118" t="s">
        <v>34</v>
      </c>
      <c r="AF42" s="118" t="s">
        <v>35</v>
      </c>
      <c r="AG42" s="118" t="s">
        <v>0</v>
      </c>
      <c r="AH42" s="118"/>
      <c r="AI42" s="118" t="s">
        <v>30</v>
      </c>
      <c r="AJ42" s="118" t="s">
        <v>31</v>
      </c>
      <c r="AK42" s="118" t="s">
        <v>32</v>
      </c>
      <c r="AL42" s="118" t="s">
        <v>33</v>
      </c>
      <c r="AM42" s="118" t="s">
        <v>34</v>
      </c>
      <c r="AN42" s="118" t="s">
        <v>35</v>
      </c>
      <c r="AO42" s="119" t="s">
        <v>0</v>
      </c>
    </row>
    <row r="43" spans="1:41" x14ac:dyDescent="0.25">
      <c r="A43" s="31" t="s">
        <v>140</v>
      </c>
      <c r="B43" s="29">
        <f>'Activity &amp; Emissions'!L50</f>
        <v>62.724135129636252</v>
      </c>
      <c r="C43" s="29">
        <f>'Activity &amp; Emissions'!M50</f>
        <v>59.346808279400413</v>
      </c>
      <c r="D43" s="29">
        <f>'Activity &amp; Emissions'!N50</f>
        <v>81.319616182012808</v>
      </c>
      <c r="E43" s="29">
        <f>'Activity &amp; Emissions'!O50</f>
        <v>86.188875019403625</v>
      </c>
      <c r="F43" s="29">
        <f>'Activity &amp; Emissions'!P50</f>
        <v>106.95239897230066</v>
      </c>
      <c r="G43" s="29">
        <f>'Activity &amp; Emissions'!Q50</f>
        <v>114.03285774931523</v>
      </c>
      <c r="H43" s="29">
        <f>'Activity &amp; Emissions'!R50</f>
        <v>121.1133165263298</v>
      </c>
      <c r="I43" s="29"/>
      <c r="J43" s="29">
        <f>'Activity &amp; Emissions'!T50/21</f>
        <v>6.5467211282367447E-4</v>
      </c>
      <c r="K43" s="29">
        <f>'Activity &amp; Emissions'!U50/21</f>
        <v>6.1942185867237668E-4</v>
      </c>
      <c r="L43" s="29">
        <f>'Activity &amp; Emissions'!V50/21</f>
        <v>8.4875917108874651E-4</v>
      </c>
      <c r="M43" s="29">
        <f>'Activity &amp; Emissions'!W50/21</f>
        <v>8.9958120258223169E-4</v>
      </c>
      <c r="N43" s="29">
        <f>'Activity &amp; Emissions'!X50/21</f>
        <v>1.1162968267644363E-3</v>
      </c>
      <c r="O43" s="29">
        <f>'Activity &amp; Emissions'!Y50/21</f>
        <v>1.1901978681694524E-3</v>
      </c>
      <c r="P43" s="29">
        <f>'Activity &amp; Emissions'!Z50/21</f>
        <v>1.2640989095744682E-3</v>
      </c>
      <c r="Q43" s="29"/>
      <c r="R43" s="29">
        <f>'Activity &amp; Emissions'!AB50/310</f>
        <v>9.165409579531443E-4</v>
      </c>
      <c r="S43" s="29">
        <f>'Activity &amp; Emissions'!AC50/310</f>
        <v>8.6719060214132746E-4</v>
      </c>
      <c r="T43" s="29">
        <f>'Activity &amp; Emissions'!AD50/310</f>
        <v>1.1882628395242451E-3</v>
      </c>
      <c r="U43" s="29">
        <f>'Activity &amp; Emissions'!AE50/310</f>
        <v>1.2594136836151242E-3</v>
      </c>
      <c r="V43" s="29">
        <f>'Activity &amp; Emissions'!AF50/310</f>
        <v>1.5628155574702108E-3</v>
      </c>
      <c r="W43" s="29">
        <f>'Activity &amp; Emissions'!AG50/310</f>
        <v>1.6662770154372332E-3</v>
      </c>
      <c r="X43" s="29">
        <f>'Activity &amp; Emissions'!AH50/310</f>
        <v>1.7697384734042551E-3</v>
      </c>
      <c r="Y43" s="29"/>
      <c r="Z43" s="29"/>
      <c r="AA43" s="29">
        <f>B43+J43*21+R43*310</f>
        <v>63.022010940971029</v>
      </c>
      <c r="AB43" s="29">
        <f t="shared" ref="AB43:AG43" si="51">C43+K43*21+S43*310</f>
        <v>59.628645225096349</v>
      </c>
      <c r="AC43" s="29">
        <f t="shared" si="51"/>
        <v>81.705801604858195</v>
      </c>
      <c r="AD43" s="29">
        <f t="shared" si="51"/>
        <v>86.59818446657853</v>
      </c>
      <c r="AE43" s="29">
        <f t="shared" si="51"/>
        <v>107.46031402847846</v>
      </c>
      <c r="AF43" s="29">
        <f t="shared" si="51"/>
        <v>114.57439777933232</v>
      </c>
      <c r="AG43" s="29">
        <f t="shared" si="51"/>
        <v>121.68848153018618</v>
      </c>
      <c r="AH43" s="29"/>
      <c r="AI43" s="29">
        <f>'Activity &amp; Emissions'!C50*'Factors and Conversions'!$B$25</f>
        <v>15636.574802825573</v>
      </c>
      <c r="AJ43" s="29">
        <f>'Activity &amp; Emissions'!D50*'Factors and Conversions'!$B$25</f>
        <v>14794.636945601105</v>
      </c>
      <c r="AK43" s="29">
        <f>'Activity &amp; Emissions'!E50*'Factors and Conversions'!$B$25</f>
        <v>20272.264555566813</v>
      </c>
      <c r="AL43" s="29">
        <f>'Activity &amp; Emissions'!F50*'Factors and Conversions'!$B$25</f>
        <v>21486.127925509187</v>
      </c>
      <c r="AM43" s="29">
        <f>'Activity &amp; Emissions'!G50*'Factors and Conversions'!$B$25</f>
        <v>26662.291690680544</v>
      </c>
      <c r="AN43" s="29">
        <f>'Activity &amp; Emissions'!H50*'Factors and Conversions'!$B$25</f>
        <v>28427.387743042058</v>
      </c>
      <c r="AO43" s="34">
        <f>'Activity &amp; Emissions'!I50*'Factors and Conversions'!$B$25</f>
        <v>30192.483795403572</v>
      </c>
    </row>
    <row r="44" spans="1:41" x14ac:dyDescent="0.25">
      <c r="A44" s="31" t="s">
        <v>51</v>
      </c>
      <c r="B44" s="29">
        <f>'Activity &amp; Emissions'!L51</f>
        <v>10.43316046538378</v>
      </c>
      <c r="C44" s="29">
        <f>'Activity &amp; Emissions'!M51</f>
        <v>11.231321517381938</v>
      </c>
      <c r="D44" s="29">
        <f>'Activity &amp; Emissions'!N51</f>
        <v>10.545369504380453</v>
      </c>
      <c r="E44" s="29">
        <f>'Activity &amp; Emissions'!O51</f>
        <v>8.5947647224483248</v>
      </c>
      <c r="F44" s="29">
        <f>'Activity &amp; Emissions'!P51</f>
        <v>8.1097702286715894</v>
      </c>
      <c r="G44" s="29">
        <f>'Activity &amp; Emissions'!Q51</f>
        <v>8.3459918022379966</v>
      </c>
      <c r="H44" s="29">
        <f>'Activity &amp; Emissions'!R51</f>
        <v>8.5822133758044021</v>
      </c>
      <c r="I44" s="29"/>
      <c r="J44" s="29">
        <f>'Activity &amp; Emissions'!T51/21</f>
        <v>4.2239516054185357E-4</v>
      </c>
      <c r="K44" s="29">
        <f>'Activity &amp; Emissions'!U51/21</f>
        <v>4.5470937317335775E-4</v>
      </c>
      <c r="L44" s="29">
        <f>'Activity &amp; Emissions'!V51/21</f>
        <v>4.2693803661459327E-4</v>
      </c>
      <c r="M44" s="29">
        <f>'Activity &amp; Emissions'!W51/21</f>
        <v>3.4796618309507389E-4</v>
      </c>
      <c r="N44" s="29">
        <f>'Activity &amp; Emissions'!X51/21</f>
        <v>3.2833077848872839E-4</v>
      </c>
      <c r="O44" s="29">
        <f>'Activity &amp; Emissions'!Y51/21</f>
        <v>3.3789440494890675E-4</v>
      </c>
      <c r="P44" s="29">
        <f>'Activity &amp; Emissions'!Z51/21</f>
        <v>3.4745803140908516E-4</v>
      </c>
      <c r="Q44" s="29"/>
      <c r="R44" s="29">
        <f>'Activity &amp; Emissions'!AB51/310</f>
        <v>8.4479032108370693E-5</v>
      </c>
      <c r="S44" s="29">
        <f>'Activity &amp; Emissions'!AC51/310</f>
        <v>9.0941874634671555E-5</v>
      </c>
      <c r="T44" s="29">
        <f>'Activity &amp; Emissions'!AD51/310</f>
        <v>8.5387607322918654E-5</v>
      </c>
      <c r="U44" s="29">
        <f>'Activity &amp; Emissions'!AE51/310</f>
        <v>6.9593236619014783E-5</v>
      </c>
      <c r="V44" s="29">
        <f>'Activity &amp; Emissions'!AF51/310</f>
        <v>6.5666155697745676E-5</v>
      </c>
      <c r="W44" s="29">
        <f>'Activity &amp; Emissions'!AG51/310</f>
        <v>6.7578880989781339E-5</v>
      </c>
      <c r="X44" s="29">
        <f>'Activity &amp; Emissions'!AH51/310</f>
        <v>6.9491606281817017E-5</v>
      </c>
      <c r="Y44" s="29"/>
      <c r="Z44" s="29"/>
      <c r="AA44" s="29">
        <f t="shared" ref="AA44:AA45" si="52">B44+J44*21+R44*310</f>
        <v>10.468219263708754</v>
      </c>
      <c r="AB44" s="29">
        <f t="shared" ref="AB44:AB45" si="53">C44+K44*21+S44*310</f>
        <v>11.269062395355327</v>
      </c>
      <c r="AC44" s="29">
        <f t="shared" ref="AC44:AC45" si="54">D44+L44*21+T44*310</f>
        <v>10.580805361419463</v>
      </c>
      <c r="AD44" s="29">
        <f t="shared" ref="AD44:AD45" si="55">E44+M44*21+U44*310</f>
        <v>8.6236459156452163</v>
      </c>
      <c r="AE44" s="29">
        <f t="shared" ref="AE44:AE45" si="56">F44+N44*21+V44*310</f>
        <v>8.1370216832861537</v>
      </c>
      <c r="AF44" s="29">
        <f t="shared" ref="AF44:AF45" si="57">G44+O44*21+W44*310</f>
        <v>8.3740370378487547</v>
      </c>
      <c r="AG44" s="29">
        <f t="shared" ref="AG44:AG45" si="58">H44+P44*21+X44*310</f>
        <v>8.6110523924113576</v>
      </c>
      <c r="AH44" s="29"/>
      <c r="AI44" s="29">
        <f>'Activity &amp; Emissions'!C51*'Factors and Conversions'!$B$25</f>
        <v>3362.9117002692669</v>
      </c>
      <c r="AJ44" s="29">
        <f>'Activity &amp; Emissions'!D51*'Factors and Conversions'!$B$25</f>
        <v>3620.1822703299463</v>
      </c>
      <c r="AK44" s="29">
        <f>'Activity &amp; Emissions'!E51*'Factors and Conversions'!$B$25</f>
        <v>3399.0799439543794</v>
      </c>
      <c r="AL44" s="29">
        <f>'Activity &amp; Emissions'!F51*'Factors and Conversions'!$B$25</f>
        <v>2770.3431709003053</v>
      </c>
      <c r="AM44" s="29">
        <f>'Activity &amp; Emissions'!G51*'Factors and Conversions'!$B$25</f>
        <v>2614.0153100282878</v>
      </c>
      <c r="AN44" s="29">
        <f>'Activity &amp; Emissions'!H51*'Factors and Conversions'!$B$25</f>
        <v>2690.1564080434291</v>
      </c>
      <c r="AO44" s="34">
        <f>'Activity &amp; Emissions'!I51*'Factors and Conversions'!$B$25</f>
        <v>2766.2975060585704</v>
      </c>
    </row>
    <row r="45" spans="1:41" x14ac:dyDescent="0.25">
      <c r="A45" s="31" t="s">
        <v>63</v>
      </c>
      <c r="B45" s="29">
        <f>'Activity &amp; Emissions'!L52</f>
        <v>8.8350799354520557</v>
      </c>
      <c r="C45" s="29">
        <f>'Activity &amp; Emissions'!M52</f>
        <v>14.783140994713897</v>
      </c>
      <c r="D45" s="29">
        <f>'Activity &amp; Emissions'!N52</f>
        <v>8.7961485995121951</v>
      </c>
      <c r="E45" s="29">
        <f>'Activity &amp; Emissions'!O52</f>
        <v>10.464378412949999</v>
      </c>
      <c r="F45" s="29">
        <f>'Activity &amp; Emissions'!P52</f>
        <v>8.1421673628358224</v>
      </c>
      <c r="G45" s="29">
        <f>'Activity &amp; Emissions'!Q52</f>
        <v>9.4816575819584497</v>
      </c>
      <c r="H45" s="29">
        <f>'Activity &amp; Emissions'!R52</f>
        <v>10.821147801081082</v>
      </c>
      <c r="I45" s="29"/>
      <c r="J45" s="29">
        <f>'Activity &amp; Emissions'!T52/21</f>
        <v>1.5748805589041096E-4</v>
      </c>
      <c r="K45" s="29">
        <f>'Activity &amp; Emissions'!U52/21</f>
        <v>2.6351409972752042E-4</v>
      </c>
      <c r="L45" s="29">
        <f>'Activity &amp; Emissions'!V52/21</f>
        <v>1.5679409268292682E-4</v>
      </c>
      <c r="M45" s="29">
        <f>'Activity &amp; Emissions'!W52/21</f>
        <v>1.8653080950000001E-4</v>
      </c>
      <c r="N45" s="29">
        <f>'Activity &amp; Emissions'!X52/21</f>
        <v>1.4513667313432836E-4</v>
      </c>
      <c r="O45" s="29">
        <f>'Activity &amp; Emissions'!Y52/21</f>
        <v>1.6901350413473174E-4</v>
      </c>
      <c r="P45" s="29">
        <f>'Activity &amp; Emissions'!Z52/21</f>
        <v>1.9289033513513512E-4</v>
      </c>
      <c r="Q45" s="29"/>
      <c r="R45" s="29">
        <f>'Activity &amp; Emissions'!AB52/310</f>
        <v>1.5748805589041099E-5</v>
      </c>
      <c r="S45" s="29">
        <f>'Activity &amp; Emissions'!AC52/310</f>
        <v>2.6351409972752045E-5</v>
      </c>
      <c r="T45" s="29">
        <f>'Activity &amp; Emissions'!AD52/310</f>
        <v>1.5679409268292684E-5</v>
      </c>
      <c r="U45" s="29">
        <f>'Activity &amp; Emissions'!AE52/310</f>
        <v>1.8653080949999998E-5</v>
      </c>
      <c r="V45" s="29">
        <f>'Activity &amp; Emissions'!AF52/310</f>
        <v>1.4513667313432839E-5</v>
      </c>
      <c r="W45" s="29">
        <f>'Activity &amp; Emissions'!AG52/310</f>
        <v>1.6901350413473174E-5</v>
      </c>
      <c r="X45" s="29">
        <f>'Activity &amp; Emissions'!AH52/310</f>
        <v>1.9289033513513516E-5</v>
      </c>
      <c r="Y45" s="29"/>
      <c r="Z45" s="29"/>
      <c r="AA45" s="29">
        <f t="shared" si="52"/>
        <v>8.8432693143583574</v>
      </c>
      <c r="AB45" s="29">
        <f t="shared" si="53"/>
        <v>14.796843727899727</v>
      </c>
      <c r="AC45" s="29">
        <f t="shared" si="54"/>
        <v>8.804301892331706</v>
      </c>
      <c r="AD45" s="29">
        <f t="shared" si="55"/>
        <v>10.474078015044</v>
      </c>
      <c r="AE45" s="29">
        <f t="shared" si="56"/>
        <v>8.1497144698388091</v>
      </c>
      <c r="AF45" s="29">
        <f t="shared" si="57"/>
        <v>9.4904462841734567</v>
      </c>
      <c r="AG45" s="29">
        <f t="shared" si="58"/>
        <v>10.83117809850811</v>
      </c>
      <c r="AH45" s="29"/>
      <c r="AI45" s="29">
        <f>'Activity &amp; Emissions'!C52*'Factors and Conversions'!$B$25</f>
        <v>3761.5375975931343</v>
      </c>
      <c r="AJ45" s="29">
        <f>'Activity &amp; Emissions'!D52*'Factors and Conversions'!$B$25</f>
        <v>6293.9261521567068</v>
      </c>
      <c r="AK45" s="29">
        <f>'Activity &amp; Emissions'!E52*'Factors and Conversions'!$B$25</f>
        <v>3744.9625711154795</v>
      </c>
      <c r="AL45" s="29">
        <f>'Activity &amp; Emissions'!F52*'Factors and Conversions'!$B$25</f>
        <v>4455.2118513163623</v>
      </c>
      <c r="AM45" s="29">
        <f>'Activity &amp; Emissions'!G52*'Factors and Conversions'!$B$25</f>
        <v>3466.5298882364459</v>
      </c>
      <c r="AN45" s="29">
        <f>'Activity &amp; Emissions'!H52*'Factors and Conversions'!$B$25</f>
        <v>4036.8182000173215</v>
      </c>
      <c r="AO45" s="34">
        <f>'Activity &amp; Emissions'!I52*'Factors and Conversions'!$B$25</f>
        <v>4607.1065117981971</v>
      </c>
    </row>
    <row r="46" spans="1:41" ht="16.5" thickBot="1" x14ac:dyDescent="0.3">
      <c r="A46" s="35"/>
      <c r="B46" s="45">
        <f>B43+B44+B45</f>
        <v>81.992375530472088</v>
      </c>
      <c r="C46" s="45">
        <f t="shared" ref="C46:AO46" si="59">C43+C44+C45</f>
        <v>85.361270791496253</v>
      </c>
      <c r="D46" s="45">
        <f t="shared" si="59"/>
        <v>100.66113428590545</v>
      </c>
      <c r="E46" s="45">
        <f t="shared" si="59"/>
        <v>105.24801815480194</v>
      </c>
      <c r="F46" s="45">
        <f t="shared" si="59"/>
        <v>123.20433656380807</v>
      </c>
      <c r="G46" s="45">
        <f t="shared" si="59"/>
        <v>131.86050713351167</v>
      </c>
      <c r="H46" s="45">
        <f t="shared" si="59"/>
        <v>140.51667770321529</v>
      </c>
      <c r="I46" s="45"/>
      <c r="J46" s="45">
        <f>J43+J44+J45</f>
        <v>1.2345553292559389E-3</v>
      </c>
      <c r="K46" s="45">
        <f t="shared" si="59"/>
        <v>1.3376453315732547E-3</v>
      </c>
      <c r="L46" s="45">
        <f t="shared" si="59"/>
        <v>1.4324913003862668E-3</v>
      </c>
      <c r="M46" s="45">
        <f t="shared" si="59"/>
        <v>1.4340781951773056E-3</v>
      </c>
      <c r="N46" s="45">
        <f t="shared" si="59"/>
        <v>1.5897642783874932E-3</v>
      </c>
      <c r="O46" s="45">
        <f t="shared" si="59"/>
        <v>1.6971057772530908E-3</v>
      </c>
      <c r="P46" s="45">
        <f t="shared" si="59"/>
        <v>1.8044472761186885E-3</v>
      </c>
      <c r="Q46" s="45"/>
      <c r="R46" s="45">
        <f t="shared" si="59"/>
        <v>1.0167687956505562E-3</v>
      </c>
      <c r="S46" s="45">
        <f t="shared" si="59"/>
        <v>9.8448388674875101E-4</v>
      </c>
      <c r="T46" s="45">
        <f t="shared" si="59"/>
        <v>1.2893298561154564E-3</v>
      </c>
      <c r="U46" s="45">
        <f t="shared" si="59"/>
        <v>1.3476600011841388E-3</v>
      </c>
      <c r="V46" s="45">
        <f t="shared" si="59"/>
        <v>1.6429953804813894E-3</v>
      </c>
      <c r="W46" s="45">
        <f t="shared" si="59"/>
        <v>1.7507572468404876E-3</v>
      </c>
      <c r="X46" s="45">
        <f t="shared" si="59"/>
        <v>1.8585191131995857E-3</v>
      </c>
      <c r="Y46" s="45"/>
      <c r="Z46" s="45"/>
      <c r="AA46" s="45">
        <f t="shared" si="59"/>
        <v>82.333499519038142</v>
      </c>
      <c r="AB46" s="45">
        <f t="shared" si="59"/>
        <v>85.694551348351411</v>
      </c>
      <c r="AC46" s="45">
        <f t="shared" si="59"/>
        <v>101.09090885860937</v>
      </c>
      <c r="AD46" s="45">
        <f t="shared" si="59"/>
        <v>105.69590839726774</v>
      </c>
      <c r="AE46" s="45">
        <f t="shared" si="59"/>
        <v>123.74705018160343</v>
      </c>
      <c r="AF46" s="45">
        <f t="shared" si="59"/>
        <v>132.43888110135453</v>
      </c>
      <c r="AG46" s="45">
        <f t="shared" si="59"/>
        <v>141.13071202110564</v>
      </c>
      <c r="AH46" s="45"/>
      <c r="AI46" s="45">
        <f t="shared" si="59"/>
        <v>22761.024100687973</v>
      </c>
      <c r="AJ46" s="45">
        <f t="shared" si="59"/>
        <v>24708.745368087759</v>
      </c>
      <c r="AK46" s="45">
        <f t="shared" si="59"/>
        <v>27416.307070636674</v>
      </c>
      <c r="AL46" s="45">
        <f t="shared" si="59"/>
        <v>28711.682947725854</v>
      </c>
      <c r="AM46" s="45">
        <f t="shared" si="59"/>
        <v>32742.836888945276</v>
      </c>
      <c r="AN46" s="45">
        <f t="shared" si="59"/>
        <v>35154.362351102805</v>
      </c>
      <c r="AO46" s="53">
        <f t="shared" si="59"/>
        <v>37565.887813260342</v>
      </c>
    </row>
    <row r="47" spans="1:41" x14ac:dyDescent="0.25">
      <c r="A47" s="11"/>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row>
    <row r="48" spans="1:41" ht="16.5" thickBot="1" x14ac:dyDescent="0.3">
      <c r="A48" s="11"/>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row>
    <row r="49" spans="1:41" x14ac:dyDescent="0.25">
      <c r="A49" s="39"/>
      <c r="B49" s="126"/>
      <c r="C49" s="126" t="s">
        <v>117</v>
      </c>
      <c r="D49" s="126"/>
      <c r="E49" s="126"/>
      <c r="F49" s="126"/>
      <c r="G49" s="126"/>
      <c r="H49" s="126"/>
      <c r="I49" s="126"/>
      <c r="J49" s="40" t="s">
        <v>142</v>
      </c>
      <c r="K49" s="40"/>
      <c r="L49" s="126"/>
      <c r="M49" s="126"/>
      <c r="N49" s="126"/>
      <c r="O49" s="126"/>
      <c r="P49" s="126"/>
      <c r="Q49" s="126"/>
      <c r="R49" s="126"/>
      <c r="S49" s="40" t="s">
        <v>143</v>
      </c>
      <c r="T49" s="40"/>
      <c r="U49" s="126"/>
      <c r="V49" s="126"/>
      <c r="W49" s="126"/>
      <c r="X49" s="126"/>
      <c r="Y49" s="126"/>
      <c r="Z49" s="126"/>
      <c r="AA49" s="40" t="s">
        <v>145</v>
      </c>
      <c r="AB49" s="40"/>
      <c r="AC49" s="126"/>
      <c r="AD49" s="126"/>
      <c r="AE49" s="126"/>
      <c r="AF49" s="126"/>
      <c r="AG49" s="126"/>
      <c r="AH49" s="126"/>
      <c r="AI49" s="40" t="s">
        <v>174</v>
      </c>
      <c r="AJ49" s="126"/>
      <c r="AK49" s="126"/>
      <c r="AL49" s="126"/>
      <c r="AM49" s="126"/>
      <c r="AN49" s="127"/>
      <c r="AO49" s="22"/>
    </row>
    <row r="50" spans="1:41" s="112" customFormat="1" x14ac:dyDescent="0.25">
      <c r="A50" s="128"/>
      <c r="B50" s="125">
        <v>2007</v>
      </c>
      <c r="C50" s="125">
        <v>2008</v>
      </c>
      <c r="D50" s="125">
        <v>2009</v>
      </c>
      <c r="E50" s="125">
        <v>2010</v>
      </c>
      <c r="F50" s="125">
        <v>2011</v>
      </c>
      <c r="G50" s="125">
        <v>2012</v>
      </c>
      <c r="H50" s="125"/>
      <c r="I50" s="125"/>
      <c r="J50" s="125">
        <v>2007</v>
      </c>
      <c r="K50" s="125">
        <v>2008</v>
      </c>
      <c r="L50" s="125">
        <v>2009</v>
      </c>
      <c r="M50" s="125">
        <v>2010</v>
      </c>
      <c r="N50" s="125">
        <v>2011</v>
      </c>
      <c r="O50" s="125">
        <v>2012</v>
      </c>
      <c r="P50" s="125"/>
      <c r="Q50" s="125"/>
      <c r="R50" s="125">
        <v>2007</v>
      </c>
      <c r="S50" s="125">
        <v>2008</v>
      </c>
      <c r="T50" s="125">
        <v>2009</v>
      </c>
      <c r="U50" s="125">
        <v>2010</v>
      </c>
      <c r="V50" s="125">
        <v>2011</v>
      </c>
      <c r="W50" s="125">
        <v>2012</v>
      </c>
      <c r="X50" s="125"/>
      <c r="Y50" s="125"/>
      <c r="Z50" s="125"/>
      <c r="AA50" s="125">
        <v>2007</v>
      </c>
      <c r="AB50" s="125">
        <v>2008</v>
      </c>
      <c r="AC50" s="125">
        <v>2009</v>
      </c>
      <c r="AD50" s="125">
        <v>2010</v>
      </c>
      <c r="AE50" s="125">
        <v>2011</v>
      </c>
      <c r="AF50" s="125">
        <v>2012</v>
      </c>
      <c r="AG50" s="125"/>
      <c r="AH50" s="125"/>
      <c r="AI50" s="125">
        <v>2007</v>
      </c>
      <c r="AJ50" s="125">
        <v>2008</v>
      </c>
      <c r="AK50" s="125">
        <v>2009</v>
      </c>
      <c r="AL50" s="125">
        <v>2010</v>
      </c>
      <c r="AM50" s="125">
        <v>2011</v>
      </c>
      <c r="AN50" s="129">
        <v>2012</v>
      </c>
    </row>
    <row r="51" spans="1:41" x14ac:dyDescent="0.25">
      <c r="A51" s="31" t="s">
        <v>140</v>
      </c>
      <c r="B51" s="29">
        <f>B43*1/4+C43*3/4</f>
        <v>60.191139991959375</v>
      </c>
      <c r="C51" s="29">
        <f t="shared" ref="C51:G51" si="60">C43*1/4+D43*3/4</f>
        <v>75.826414206359715</v>
      </c>
      <c r="D51" s="29">
        <f t="shared" si="60"/>
        <v>84.971560310055921</v>
      </c>
      <c r="E51" s="29">
        <f t="shared" si="60"/>
        <v>101.76151798407639</v>
      </c>
      <c r="F51" s="29">
        <f t="shared" si="60"/>
        <v>112.26274305506159</v>
      </c>
      <c r="G51" s="29">
        <f t="shared" si="60"/>
        <v>119.34320183207615</v>
      </c>
      <c r="H51" s="29"/>
      <c r="I51" s="29"/>
      <c r="J51" s="29">
        <f>J43*1/4+K43*3/4</f>
        <v>6.2823442221020113E-4</v>
      </c>
      <c r="K51" s="29">
        <f t="shared" ref="K51:O51" si="61">K43*1/4+L43*3/4</f>
        <v>7.9142484298465408E-4</v>
      </c>
      <c r="L51" s="29">
        <f t="shared" si="61"/>
        <v>8.8687569470886039E-4</v>
      </c>
      <c r="M51" s="29">
        <f t="shared" si="61"/>
        <v>1.062117920718885E-3</v>
      </c>
      <c r="N51" s="29">
        <f t="shared" si="61"/>
        <v>1.1717226078181984E-3</v>
      </c>
      <c r="O51" s="29">
        <f t="shared" si="61"/>
        <v>1.2456236492232142E-3</v>
      </c>
      <c r="P51" s="29"/>
      <c r="Q51" s="29"/>
      <c r="R51" s="29">
        <f>R43*1/4+S43*3/4</f>
        <v>8.7952819109428165E-4</v>
      </c>
      <c r="S51" s="29">
        <f t="shared" ref="S51:W51" si="62">S43*1/4+T43*3/4</f>
        <v>1.1079947801785157E-3</v>
      </c>
      <c r="T51" s="29">
        <f t="shared" si="62"/>
        <v>1.2416259725924043E-3</v>
      </c>
      <c r="U51" s="29">
        <f t="shared" si="62"/>
        <v>1.4869650890064392E-3</v>
      </c>
      <c r="V51" s="29">
        <f t="shared" si="62"/>
        <v>1.6404116509454777E-3</v>
      </c>
      <c r="W51" s="29">
        <f t="shared" si="62"/>
        <v>1.7438731089124996E-3</v>
      </c>
      <c r="X51" s="29"/>
      <c r="Y51" s="29"/>
      <c r="Z51" s="29"/>
      <c r="AA51" s="29">
        <f>AA43*1/4+AB43*3/4</f>
        <v>60.476986654065016</v>
      </c>
      <c r="AB51" s="29">
        <f t="shared" ref="AB51:AF51" si="63">AB43*1/4+AC43*3/4</f>
        <v>76.186512509917733</v>
      </c>
      <c r="AC51" s="29">
        <f t="shared" si="63"/>
        <v>85.375088751148454</v>
      </c>
      <c r="AD51" s="29">
        <f t="shared" si="63"/>
        <v>102.24478163800347</v>
      </c>
      <c r="AE51" s="29">
        <f t="shared" si="63"/>
        <v>112.79587684161885</v>
      </c>
      <c r="AF51" s="29">
        <f t="shared" si="63"/>
        <v>119.90996059247271</v>
      </c>
      <c r="AG51" s="29"/>
      <c r="AH51" s="29"/>
      <c r="AI51" s="29">
        <f>AI43*1/4+AJ43*3/4</f>
        <v>15005.121409907224</v>
      </c>
      <c r="AJ51" s="29">
        <f t="shared" ref="AJ51:AN51" si="64">AJ43*1/4+AK43*3/4</f>
        <v>18902.857653075385</v>
      </c>
      <c r="AK51" s="29">
        <f t="shared" si="64"/>
        <v>21182.662083023592</v>
      </c>
      <c r="AL51" s="29">
        <f t="shared" si="64"/>
        <v>25368.250749387706</v>
      </c>
      <c r="AM51" s="29">
        <f t="shared" si="64"/>
        <v>27986.113729951681</v>
      </c>
      <c r="AN51" s="34">
        <f t="shared" si="64"/>
        <v>29751.209782313192</v>
      </c>
      <c r="AO51" s="22"/>
    </row>
    <row r="52" spans="1:41" x14ac:dyDescent="0.25">
      <c r="A52" s="31" t="s">
        <v>51</v>
      </c>
      <c r="B52" s="29">
        <f t="shared" ref="B52:G53" si="65">B44*1/4+C44*3/4</f>
        <v>11.031781254382398</v>
      </c>
      <c r="C52" s="29">
        <f t="shared" si="65"/>
        <v>10.716857507630824</v>
      </c>
      <c r="D52" s="29">
        <f t="shared" si="65"/>
        <v>9.0824159179313568</v>
      </c>
      <c r="E52" s="29">
        <f t="shared" si="65"/>
        <v>8.2310188521157741</v>
      </c>
      <c r="F52" s="29">
        <f t="shared" si="65"/>
        <v>8.2869364088463939</v>
      </c>
      <c r="G52" s="29">
        <f t="shared" si="65"/>
        <v>8.5231579824128012</v>
      </c>
      <c r="H52" s="29"/>
      <c r="I52" s="29"/>
      <c r="J52" s="29">
        <f t="shared" ref="J52:O53" si="66">J44*1/4+K44*3/4</f>
        <v>4.4663082001548168E-4</v>
      </c>
      <c r="K52" s="29">
        <f t="shared" si="66"/>
        <v>4.3388087075428442E-4</v>
      </c>
      <c r="L52" s="29">
        <f t="shared" si="66"/>
        <v>3.6770914647495372E-4</v>
      </c>
      <c r="M52" s="29">
        <f t="shared" si="66"/>
        <v>3.3323962964031481E-4</v>
      </c>
      <c r="N52" s="29">
        <f t="shared" si="66"/>
        <v>3.3550349833386215E-4</v>
      </c>
      <c r="O52" s="29">
        <f t="shared" si="66"/>
        <v>3.4506712479404056E-4</v>
      </c>
      <c r="P52" s="29"/>
      <c r="Q52" s="29"/>
      <c r="R52" s="29">
        <f t="shared" ref="R52:W53" si="67">R44*1/4+S44*3/4</f>
        <v>8.9326164003096346E-5</v>
      </c>
      <c r="S52" s="29">
        <f t="shared" si="67"/>
        <v>8.6776174150856873E-5</v>
      </c>
      <c r="T52" s="29">
        <f t="shared" si="67"/>
        <v>7.3541829294990744E-5</v>
      </c>
      <c r="U52" s="29">
        <f t="shared" si="67"/>
        <v>6.6647925928062956E-5</v>
      </c>
      <c r="V52" s="29">
        <f t="shared" si="67"/>
        <v>6.7100699666772427E-5</v>
      </c>
      <c r="W52" s="29">
        <f t="shared" si="67"/>
        <v>6.9013424958808091E-5</v>
      </c>
      <c r="X52" s="29"/>
      <c r="Y52" s="29"/>
      <c r="Z52" s="29"/>
      <c r="AA52" s="29">
        <f t="shared" ref="AA52:AF53" si="68">AA44*1/4+AB44*3/4</f>
        <v>11.068851612443684</v>
      </c>
      <c r="AB52" s="29">
        <f t="shared" si="68"/>
        <v>10.752869619903429</v>
      </c>
      <c r="AC52" s="29">
        <f t="shared" si="68"/>
        <v>9.1129357770887776</v>
      </c>
      <c r="AD52" s="29">
        <f t="shared" si="68"/>
        <v>8.2586777413759194</v>
      </c>
      <c r="AE52" s="29">
        <f t="shared" si="68"/>
        <v>8.3147831992081045</v>
      </c>
      <c r="AF52" s="29">
        <f t="shared" si="68"/>
        <v>8.5517985537707055</v>
      </c>
      <c r="AG52" s="29"/>
      <c r="AH52" s="29"/>
      <c r="AI52" s="29">
        <f t="shared" ref="AI52:AN52" si="69">AI44*1/4+AJ44*3/4</f>
        <v>3555.8646278147767</v>
      </c>
      <c r="AJ52" s="29">
        <f t="shared" si="69"/>
        <v>3454.3555255482711</v>
      </c>
      <c r="AK52" s="29">
        <f t="shared" si="69"/>
        <v>2927.5273641638237</v>
      </c>
      <c r="AL52" s="29">
        <f t="shared" si="69"/>
        <v>2653.0972752462922</v>
      </c>
      <c r="AM52" s="29">
        <f t="shared" si="69"/>
        <v>2671.1211335396438</v>
      </c>
      <c r="AN52" s="34">
        <f t="shared" si="69"/>
        <v>2747.2622315547851</v>
      </c>
      <c r="AO52" s="22"/>
    </row>
    <row r="53" spans="1:41" ht="16.5" thickBot="1" x14ac:dyDescent="0.3">
      <c r="A53" s="35" t="s">
        <v>63</v>
      </c>
      <c r="B53" s="45">
        <f t="shared" si="65"/>
        <v>13.296125729898437</v>
      </c>
      <c r="C53" s="45">
        <f t="shared" si="65"/>
        <v>10.292896698312621</v>
      </c>
      <c r="D53" s="45">
        <f t="shared" si="65"/>
        <v>10.047320959590548</v>
      </c>
      <c r="E53" s="45">
        <f t="shared" si="65"/>
        <v>8.7227201253643667</v>
      </c>
      <c r="F53" s="45">
        <f t="shared" si="65"/>
        <v>9.146785027177792</v>
      </c>
      <c r="G53" s="45">
        <f t="shared" si="65"/>
        <v>10.486275246300425</v>
      </c>
      <c r="H53" s="45"/>
      <c r="I53" s="45"/>
      <c r="J53" s="45">
        <f t="shared" si="66"/>
        <v>2.3700758876824305E-4</v>
      </c>
      <c r="K53" s="45">
        <f t="shared" si="66"/>
        <v>1.8347409444407521E-4</v>
      </c>
      <c r="L53" s="45">
        <f t="shared" si="66"/>
        <v>1.7909663029573171E-4</v>
      </c>
      <c r="M53" s="45">
        <f t="shared" si="66"/>
        <v>1.5548520722574627E-4</v>
      </c>
      <c r="N53" s="45">
        <f t="shared" si="66"/>
        <v>1.6304429638463089E-4</v>
      </c>
      <c r="O53" s="45">
        <f t="shared" si="66"/>
        <v>1.8692112738503426E-4</v>
      </c>
      <c r="P53" s="45"/>
      <c r="Q53" s="45"/>
      <c r="R53" s="45">
        <f t="shared" si="67"/>
        <v>2.3700758876824309E-5</v>
      </c>
      <c r="S53" s="45">
        <f t="shared" si="67"/>
        <v>1.8347409444407523E-5</v>
      </c>
      <c r="T53" s="45">
        <f t="shared" si="67"/>
        <v>1.7909663029573171E-5</v>
      </c>
      <c r="U53" s="45">
        <f t="shared" si="67"/>
        <v>1.5548520722574629E-5</v>
      </c>
      <c r="V53" s="45">
        <f t="shared" si="67"/>
        <v>1.630442963846309E-5</v>
      </c>
      <c r="W53" s="45">
        <f t="shared" si="67"/>
        <v>1.8692112738503432E-5</v>
      </c>
      <c r="X53" s="45"/>
      <c r="Y53" s="45"/>
      <c r="Z53" s="45"/>
      <c r="AA53" s="45">
        <f t="shared" si="68"/>
        <v>13.308450124514385</v>
      </c>
      <c r="AB53" s="45">
        <f t="shared" si="68"/>
        <v>10.302437351223711</v>
      </c>
      <c r="AC53" s="45">
        <f t="shared" si="68"/>
        <v>10.056633984365927</v>
      </c>
      <c r="AD53" s="45">
        <f t="shared" si="68"/>
        <v>8.730805356140106</v>
      </c>
      <c r="AE53" s="45">
        <f t="shared" si="68"/>
        <v>9.1552633305897935</v>
      </c>
      <c r="AF53" s="45">
        <f t="shared" si="68"/>
        <v>10.495995144924446</v>
      </c>
      <c r="AG53" s="45"/>
      <c r="AH53" s="45"/>
      <c r="AI53" s="45">
        <f t="shared" ref="AI53:AN53" si="70">AI45*1/4+AJ45*3/4</f>
        <v>5660.829013515814</v>
      </c>
      <c r="AJ53" s="45">
        <f t="shared" si="70"/>
        <v>4382.2034663757859</v>
      </c>
      <c r="AK53" s="45">
        <f t="shared" si="70"/>
        <v>4277.6495312661418</v>
      </c>
      <c r="AL53" s="45">
        <f t="shared" si="70"/>
        <v>3713.700379006425</v>
      </c>
      <c r="AM53" s="45">
        <f t="shared" si="70"/>
        <v>3894.2461220721025</v>
      </c>
      <c r="AN53" s="53">
        <f t="shared" si="70"/>
        <v>4464.5344338529785</v>
      </c>
      <c r="AO53" s="22"/>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Introduction</vt:lpstr>
      <vt:lpstr>Description</vt:lpstr>
      <vt:lpstr>Final Results</vt:lpstr>
      <vt:lpstr>Summary</vt:lpstr>
      <vt:lpstr>Raw Data</vt:lpstr>
      <vt:lpstr>Factors and Conversions</vt:lpstr>
      <vt:lpstr>Activity &amp; Emissions</vt:lpstr>
      <vt:lpstr>Calculations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2019-09-11T06:42:00Z</dcterms:modified>
</cp:coreProperties>
</file>